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sclient\N\"/>
    </mc:Choice>
  </mc:AlternateContent>
  <bookViews>
    <workbookView xWindow="0" yWindow="0" windowWidth="15570" windowHeight="9735"/>
  </bookViews>
  <sheets>
    <sheet name="Лист1" sheetId="4" r:id="rId1"/>
  </sheets>
  <definedNames>
    <definedName name="_xlnm._FilterDatabase" localSheetId="0" hidden="1">Лист1!$A$3:$K$4</definedName>
    <definedName name="_xlnm.Print_Titles" localSheetId="0">Лист1!$3:$4</definedName>
    <definedName name="_xlnm.Print_Area" localSheetId="0">Лист1!$A$1:$K$140</definedName>
  </definedNames>
  <calcPr calcId="152511" fullCalcOnLoad="1"/>
</workbook>
</file>

<file path=xl/calcChain.xml><?xml version="1.0" encoding="utf-8"?>
<calcChain xmlns="http://schemas.openxmlformats.org/spreadsheetml/2006/main">
  <c r="H138" i="4" l="1"/>
  <c r="H137" i="4" s="1"/>
  <c r="J137" i="4" s="1"/>
  <c r="K137" i="4" s="1"/>
  <c r="I136" i="4"/>
  <c r="I128" i="4"/>
  <c r="I113" i="4"/>
  <c r="H113" i="4"/>
  <c r="J113" i="4" s="1"/>
  <c r="K113" i="4" s="1"/>
  <c r="I109" i="4"/>
  <c r="H93" i="4"/>
  <c r="H89" i="4"/>
  <c r="H88" i="4"/>
  <c r="H87" i="4" s="1"/>
  <c r="J87" i="4" s="1"/>
  <c r="K87" i="4" s="1"/>
  <c r="I75" i="4"/>
  <c r="H60" i="4"/>
  <c r="H54" i="4"/>
  <c r="H51" i="4"/>
  <c r="J51" i="4" s="1"/>
  <c r="K51" i="4" s="1"/>
  <c r="F51" i="4"/>
  <c r="E51" i="4"/>
  <c r="H46" i="4"/>
  <c r="H41" i="4"/>
  <c r="J41" i="4" s="1"/>
  <c r="K41" i="4" s="1"/>
  <c r="F34" i="4"/>
  <c r="H34" i="4"/>
  <c r="H33" i="4"/>
  <c r="H31" i="4"/>
  <c r="J31" i="4" s="1"/>
  <c r="K31" i="4" s="1"/>
  <c r="H29" i="4"/>
  <c r="H28" i="4"/>
  <c r="H26" i="4"/>
  <c r="H22" i="4"/>
  <c r="J22" i="4" s="1"/>
  <c r="K22" i="4" s="1"/>
  <c r="H20" i="4"/>
  <c r="H17" i="4"/>
  <c r="H16" i="4"/>
  <c r="H14" i="4"/>
  <c r="J14" i="4" s="1"/>
  <c r="K14" i="4" s="1"/>
  <c r="H13" i="4"/>
  <c r="H9" i="4"/>
  <c r="I8" i="4"/>
  <c r="E138" i="4"/>
  <c r="I131" i="4"/>
  <c r="H112" i="4"/>
  <c r="F109" i="4"/>
  <c r="H106" i="4"/>
  <c r="J106" i="4" s="1"/>
  <c r="K106" i="4" s="1"/>
  <c r="H97" i="4"/>
  <c r="H91" i="4"/>
  <c r="I86" i="4"/>
  <c r="I81" i="4"/>
  <c r="I80" i="4" s="1"/>
  <c r="I78" i="4"/>
  <c r="I77" i="4"/>
  <c r="H73" i="4"/>
  <c r="H67" i="4"/>
  <c r="H66" i="4" s="1"/>
  <c r="J66" i="4" s="1"/>
  <c r="K66" i="4" s="1"/>
  <c r="H58" i="4"/>
  <c r="H57" i="4"/>
  <c r="H55" i="4"/>
  <c r="I51" i="4"/>
  <c r="I50" i="4" s="1"/>
  <c r="H45" i="4"/>
  <c r="H44" i="4"/>
  <c r="H32" i="4"/>
  <c r="H30" i="4"/>
  <c r="H27" i="4"/>
  <c r="I17" i="4"/>
  <c r="E18" i="4"/>
  <c r="E17" i="4"/>
  <c r="E15" i="4" s="1"/>
  <c r="G15" i="4" s="1"/>
  <c r="J128" i="4"/>
  <c r="H126" i="4"/>
  <c r="H119" i="4"/>
  <c r="H111" i="4"/>
  <c r="J111" i="4" s="1"/>
  <c r="K111" i="4" s="1"/>
  <c r="I108" i="4"/>
  <c r="H104" i="4"/>
  <c r="I83" i="4"/>
  <c r="J83" i="4"/>
  <c r="J45" i="4"/>
  <c r="I34" i="4"/>
  <c r="H25" i="4"/>
  <c r="H23" i="4"/>
  <c r="J23" i="4" s="1"/>
  <c r="K23" i="4" s="1"/>
  <c r="J17" i="4"/>
  <c r="H11" i="4"/>
  <c r="H10" i="4"/>
  <c r="J10" i="4" s="1"/>
  <c r="J112" i="4"/>
  <c r="H102" i="4"/>
  <c r="H95" i="4"/>
  <c r="J95" i="4" s="1"/>
  <c r="K95" i="4" s="1"/>
  <c r="F89" i="4"/>
  <c r="F87" i="4" s="1"/>
  <c r="G87" i="4" s="1"/>
  <c r="E89" i="4"/>
  <c r="G89" i="4" s="1"/>
  <c r="I89" i="4"/>
  <c r="I87" i="4"/>
  <c r="I71" i="4"/>
  <c r="H71" i="4"/>
  <c r="J71" i="4" s="1"/>
  <c r="H35" i="4"/>
  <c r="J35" i="4" s="1"/>
  <c r="K35" i="4" s="1"/>
  <c r="I32" i="4"/>
  <c r="J32" i="4"/>
  <c r="J30" i="4"/>
  <c r="K30" i="4" s="1"/>
  <c r="J28" i="4"/>
  <c r="J27" i="4"/>
  <c r="I26" i="4"/>
  <c r="J26" i="4"/>
  <c r="K26" i="4" s="1"/>
  <c r="H6" i="4"/>
  <c r="J6" i="4" s="1"/>
  <c r="K6" i="4" s="1"/>
  <c r="I123" i="4"/>
  <c r="H123" i="4"/>
  <c r="H120" i="4" s="1"/>
  <c r="J120" i="4" s="1"/>
  <c r="H122" i="4"/>
  <c r="I120" i="4"/>
  <c r="I135" i="4"/>
  <c r="J135" i="4" s="1"/>
  <c r="K135" i="4" s="1"/>
  <c r="H114" i="4"/>
  <c r="J102" i="4"/>
  <c r="H82" i="4"/>
  <c r="H80" i="4" s="1"/>
  <c r="J77" i="4"/>
  <c r="H64" i="4"/>
  <c r="J57" i="4"/>
  <c r="J55" i="4"/>
  <c r="J54" i="4"/>
  <c r="I33" i="4"/>
  <c r="J33" i="4" s="1"/>
  <c r="K33" i="4" s="1"/>
  <c r="E28" i="4"/>
  <c r="G28" i="4"/>
  <c r="E26" i="4"/>
  <c r="I25" i="4"/>
  <c r="E25" i="4"/>
  <c r="H18" i="4"/>
  <c r="H15" i="4" s="1"/>
  <c r="J15" i="4" s="1"/>
  <c r="J9" i="4"/>
  <c r="H7" i="4"/>
  <c r="H5" i="4" s="1"/>
  <c r="I129" i="4"/>
  <c r="H121" i="4"/>
  <c r="I84" i="4"/>
  <c r="H84" i="4"/>
  <c r="J84" i="4" s="1"/>
  <c r="J74" i="4"/>
  <c r="F75" i="4"/>
  <c r="F74" i="4"/>
  <c r="G74" i="4"/>
  <c r="K74" i="4"/>
  <c r="H59" i="4"/>
  <c r="J8" i="4"/>
  <c r="J46" i="4"/>
  <c r="F43" i="4"/>
  <c r="E43" i="4"/>
  <c r="G43" i="4" s="1"/>
  <c r="G46" i="4"/>
  <c r="H38" i="4"/>
  <c r="J38" i="4" s="1"/>
  <c r="K38" i="4" s="1"/>
  <c r="I38" i="4"/>
  <c r="I66" i="4"/>
  <c r="I76" i="4"/>
  <c r="H76" i="4"/>
  <c r="J76" i="4"/>
  <c r="H90" i="4"/>
  <c r="J90" i="4" s="1"/>
  <c r="I90" i="4"/>
  <c r="H96" i="4"/>
  <c r="I98" i="4"/>
  <c r="I96" i="4" s="1"/>
  <c r="H105" i="4"/>
  <c r="J29" i="4"/>
  <c r="J58" i="4"/>
  <c r="J59" i="4"/>
  <c r="K59" i="4" s="1"/>
  <c r="J60" i="4"/>
  <c r="J73" i="4"/>
  <c r="J86" i="4"/>
  <c r="K86" i="4" s="1"/>
  <c r="J91" i="4"/>
  <c r="J97" i="4"/>
  <c r="J129" i="4"/>
  <c r="J131" i="4"/>
  <c r="I138" i="4"/>
  <c r="I134" i="4"/>
  <c r="I133" i="4"/>
  <c r="J133" i="4" s="1"/>
  <c r="K133" i="4" s="1"/>
  <c r="I115" i="4"/>
  <c r="I114" i="4"/>
  <c r="J114" i="4" s="1"/>
  <c r="K114" i="4" s="1"/>
  <c r="F77" i="4"/>
  <c r="F76" i="4" s="1"/>
  <c r="F78" i="4"/>
  <c r="E77" i="4"/>
  <c r="G77" i="4"/>
  <c r="J78" i="4"/>
  <c r="H61" i="4"/>
  <c r="H56" i="4"/>
  <c r="F52" i="4"/>
  <c r="F50" i="4" s="1"/>
  <c r="G50" i="4" s="1"/>
  <c r="F128" i="4"/>
  <c r="F17" i="4"/>
  <c r="G17" i="4"/>
  <c r="F112" i="4"/>
  <c r="F114" i="4"/>
  <c r="E114" i="4"/>
  <c r="F108" i="4"/>
  <c r="G108" i="4" s="1"/>
  <c r="K108" i="4" s="1"/>
  <c r="I94" i="4"/>
  <c r="I92" i="4"/>
  <c r="F83" i="4"/>
  <c r="I82" i="4"/>
  <c r="F81" i="4"/>
  <c r="F73" i="4"/>
  <c r="G73" i="4" s="1"/>
  <c r="K73" i="4" s="1"/>
  <c r="E73" i="4"/>
  <c r="E71" i="4" s="1"/>
  <c r="J37" i="4"/>
  <c r="E37" i="4"/>
  <c r="G37" i="4" s="1"/>
  <c r="K37" i="4" s="1"/>
  <c r="E34" i="4"/>
  <c r="G34" i="4"/>
  <c r="E31" i="4"/>
  <c r="G31" i="4" s="1"/>
  <c r="F26" i="4"/>
  <c r="F25" i="4"/>
  <c r="E7" i="4"/>
  <c r="G7" i="4"/>
  <c r="I130" i="4"/>
  <c r="I107" i="4"/>
  <c r="J107" i="4"/>
  <c r="H110" i="4"/>
  <c r="J110" i="4" s="1"/>
  <c r="J20" i="4"/>
  <c r="J109" i="4"/>
  <c r="F63" i="4"/>
  <c r="F65" i="4"/>
  <c r="F53" i="4" s="1"/>
  <c r="E52" i="4"/>
  <c r="E50" i="4"/>
  <c r="E20" i="4"/>
  <c r="E19" i="4" s="1"/>
  <c r="G19" i="4" s="1"/>
  <c r="E22" i="4"/>
  <c r="E23" i="4"/>
  <c r="F19" i="4"/>
  <c r="G23" i="4"/>
  <c r="G21" i="4"/>
  <c r="J21" i="4"/>
  <c r="K21" i="4" s="1"/>
  <c r="G51" i="4"/>
  <c r="I137" i="4"/>
  <c r="F138" i="4"/>
  <c r="F137" i="4"/>
  <c r="G138" i="4"/>
  <c r="J139" i="4"/>
  <c r="G139" i="4"/>
  <c r="F111" i="4"/>
  <c r="E111" i="4"/>
  <c r="G111" i="4" s="1"/>
  <c r="I53" i="4"/>
  <c r="J65" i="4"/>
  <c r="E54" i="4"/>
  <c r="E55" i="4"/>
  <c r="E56" i="4"/>
  <c r="E59" i="4"/>
  <c r="E60" i="4"/>
  <c r="E61" i="4"/>
  <c r="E64" i="4"/>
  <c r="E53" i="4"/>
  <c r="G53" i="4" s="1"/>
  <c r="G56" i="4"/>
  <c r="J56" i="4"/>
  <c r="K56" i="4"/>
  <c r="G36" i="4"/>
  <c r="J36" i="4"/>
  <c r="K36" i="4" s="1"/>
  <c r="F27" i="4"/>
  <c r="G27" i="4" s="1"/>
  <c r="K27" i="4" s="1"/>
  <c r="F33" i="4"/>
  <c r="F107" i="4"/>
  <c r="F105" i="4"/>
  <c r="F5" i="4"/>
  <c r="F10" i="4"/>
  <c r="F15" i="4"/>
  <c r="F38" i="4"/>
  <c r="F48" i="4"/>
  <c r="F66" i="4"/>
  <c r="F68" i="4"/>
  <c r="F72" i="4"/>
  <c r="G72" i="4" s="1"/>
  <c r="K72" i="4" s="1"/>
  <c r="F80" i="4"/>
  <c r="F84" i="4"/>
  <c r="F90" i="4"/>
  <c r="F92" i="4"/>
  <c r="F96" i="4"/>
  <c r="F99" i="4"/>
  <c r="F103" i="4"/>
  <c r="F113" i="4"/>
  <c r="F110" i="4"/>
  <c r="F117" i="4"/>
  <c r="F116" i="4"/>
  <c r="F119" i="4"/>
  <c r="F118" i="4"/>
  <c r="F101" i="4"/>
  <c r="F124" i="4"/>
  <c r="F120" i="4"/>
  <c r="F130" i="4"/>
  <c r="F127" i="4" s="1"/>
  <c r="F135" i="4"/>
  <c r="F136" i="4"/>
  <c r="G136" i="4" s="1"/>
  <c r="K136" i="4" s="1"/>
  <c r="E29" i="4"/>
  <c r="E32" i="4"/>
  <c r="G32" i="4" s="1"/>
  <c r="K32" i="4" s="1"/>
  <c r="E33" i="4"/>
  <c r="I10" i="4"/>
  <c r="J12" i="4"/>
  <c r="J16" i="4"/>
  <c r="K16" i="4" s="1"/>
  <c r="I19" i="4"/>
  <c r="J39" i="4"/>
  <c r="K39" i="4" s="1"/>
  <c r="J40" i="4"/>
  <c r="J42" i="4"/>
  <c r="I43" i="4"/>
  <c r="J44" i="4"/>
  <c r="K44" i="4" s="1"/>
  <c r="J47" i="4"/>
  <c r="H48" i="4"/>
  <c r="I48" i="4"/>
  <c r="J48" i="4"/>
  <c r="J49" i="4"/>
  <c r="J52" i="4"/>
  <c r="J61" i="4"/>
  <c r="J62" i="4"/>
  <c r="J63" i="4"/>
  <c r="J64" i="4"/>
  <c r="H68" i="4"/>
  <c r="I68" i="4"/>
  <c r="J68" i="4" s="1"/>
  <c r="J69" i="4"/>
  <c r="J70" i="4"/>
  <c r="J72" i="4"/>
  <c r="J79" i="4"/>
  <c r="K79" i="4" s="1"/>
  <c r="G79" i="4"/>
  <c r="J81" i="4"/>
  <c r="K81" i="4" s="1"/>
  <c r="J85" i="4"/>
  <c r="J94" i="4"/>
  <c r="J98" i="4"/>
  <c r="G98" i="4"/>
  <c r="K98" i="4" s="1"/>
  <c r="H100" i="4"/>
  <c r="H99" i="4" s="1"/>
  <c r="J99" i="4" s="1"/>
  <c r="I99" i="4"/>
  <c r="J100" i="4"/>
  <c r="I101" i="4"/>
  <c r="H103" i="4"/>
  <c r="J103" i="4" s="1"/>
  <c r="K103" i="4" s="1"/>
  <c r="I103" i="4"/>
  <c r="J104" i="4"/>
  <c r="I105" i="4"/>
  <c r="J108" i="4"/>
  <c r="J115" i="4"/>
  <c r="K115" i="4" s="1"/>
  <c r="H116" i="4"/>
  <c r="J116" i="4" s="1"/>
  <c r="K116" i="4" s="1"/>
  <c r="I116" i="4"/>
  <c r="J117" i="4"/>
  <c r="K117" i="4" s="1"/>
  <c r="H118" i="4"/>
  <c r="J118" i="4" s="1"/>
  <c r="I118" i="4"/>
  <c r="J122" i="4"/>
  <c r="H124" i="4"/>
  <c r="J124" i="4" s="1"/>
  <c r="I124" i="4"/>
  <c r="J125" i="4"/>
  <c r="K125" i="4" s="1"/>
  <c r="J126" i="4"/>
  <c r="K126" i="4" s="1"/>
  <c r="G126" i="4"/>
  <c r="H127" i="4"/>
  <c r="J127" i="4" s="1"/>
  <c r="J130" i="4"/>
  <c r="J132" i="4"/>
  <c r="J134" i="4"/>
  <c r="K134" i="4" s="1"/>
  <c r="J136" i="4"/>
  <c r="E105" i="4"/>
  <c r="G105" i="4" s="1"/>
  <c r="G107" i="4"/>
  <c r="K107" i="4" s="1"/>
  <c r="E9" i="4"/>
  <c r="E10" i="4"/>
  <c r="G10" i="4" s="1"/>
  <c r="E16" i="4"/>
  <c r="E38" i="4"/>
  <c r="G38" i="4"/>
  <c r="E66" i="4"/>
  <c r="G66" i="4" s="1"/>
  <c r="E87" i="4"/>
  <c r="E92" i="4"/>
  <c r="G92" i="4"/>
  <c r="E101" i="4"/>
  <c r="G101" i="4"/>
  <c r="E113" i="4"/>
  <c r="G113" i="4"/>
  <c r="E121" i="4"/>
  <c r="E120" i="4" s="1"/>
  <c r="G120" i="4" s="1"/>
  <c r="E122" i="4"/>
  <c r="G122" i="4" s="1"/>
  <c r="E123" i="4"/>
  <c r="E135" i="4"/>
  <c r="E127" i="4"/>
  <c r="G127" i="4" s="1"/>
  <c r="G135" i="4"/>
  <c r="E80" i="4"/>
  <c r="G80" i="4" s="1"/>
  <c r="E124" i="4"/>
  <c r="G124" i="4" s="1"/>
  <c r="E97" i="4"/>
  <c r="E96" i="4" s="1"/>
  <c r="G96" i="4" s="1"/>
  <c r="E104" i="4"/>
  <c r="E103" i="4"/>
  <c r="G103" i="4" s="1"/>
  <c r="E84" i="4"/>
  <c r="G84" i="4" s="1"/>
  <c r="E48" i="4"/>
  <c r="G48" i="4" s="1"/>
  <c r="K48" i="4" s="1"/>
  <c r="E68" i="4"/>
  <c r="G68" i="4" s="1"/>
  <c r="E90" i="4"/>
  <c r="G90" i="4" s="1"/>
  <c r="E100" i="4"/>
  <c r="E99" i="4" s="1"/>
  <c r="G99" i="4" s="1"/>
  <c r="E116" i="4"/>
  <c r="G116" i="4"/>
  <c r="E119" i="4"/>
  <c r="E118" i="4"/>
  <c r="G118" i="4" s="1"/>
  <c r="G63" i="4"/>
  <c r="K63" i="4" s="1"/>
  <c r="G22" i="4"/>
  <c r="G59" i="4"/>
  <c r="G60" i="4"/>
  <c r="G61" i="4"/>
  <c r="G132" i="4"/>
  <c r="G133" i="4"/>
  <c r="G134" i="4"/>
  <c r="G131" i="4"/>
  <c r="K131" i="4"/>
  <c r="G130" i="4"/>
  <c r="G128" i="4"/>
  <c r="K128" i="4" s="1"/>
  <c r="G129" i="4"/>
  <c r="K129" i="4"/>
  <c r="G94" i="4"/>
  <c r="K94" i="4" s="1"/>
  <c r="G115" i="4"/>
  <c r="G39" i="4"/>
  <c r="G69" i="4"/>
  <c r="K69" i="4"/>
  <c r="G8" i="4"/>
  <c r="G9" i="4"/>
  <c r="K9" i="4" s="1"/>
  <c r="G6" i="4"/>
  <c r="G12" i="4"/>
  <c r="G13" i="4"/>
  <c r="G14" i="4"/>
  <c r="G11" i="4"/>
  <c r="G26" i="4"/>
  <c r="G29" i="4"/>
  <c r="K29" i="4" s="1"/>
  <c r="G30" i="4"/>
  <c r="G33" i="4"/>
  <c r="G35" i="4"/>
  <c r="G25" i="4"/>
  <c r="G16" i="4"/>
  <c r="G18" i="4"/>
  <c r="G125" i="4"/>
  <c r="G123" i="4"/>
  <c r="G47" i="4"/>
  <c r="K47" i="4"/>
  <c r="G97" i="4"/>
  <c r="G117" i="4"/>
  <c r="G119" i="4"/>
  <c r="G95" i="4"/>
  <c r="G82" i="4"/>
  <c r="G91" i="4"/>
  <c r="K91" i="4" s="1"/>
  <c r="G70" i="4"/>
  <c r="G83" i="4"/>
  <c r="G86" i="4"/>
  <c r="G85" i="4"/>
  <c r="K85" i="4" s="1"/>
  <c r="G88" i="4"/>
  <c r="K97" i="4"/>
  <c r="G102" i="4"/>
  <c r="G104" i="4"/>
  <c r="K104" i="4" s="1"/>
  <c r="G64" i="4"/>
  <c r="K64" i="4"/>
  <c r="G62" i="4"/>
  <c r="K62" i="4"/>
  <c r="G57" i="4"/>
  <c r="G55" i="4"/>
  <c r="K55" i="4" s="1"/>
  <c r="G49" i="4"/>
  <c r="G45" i="4"/>
  <c r="K45" i="4" s="1"/>
  <c r="G44" i="4"/>
  <c r="G42" i="4"/>
  <c r="K42" i="4"/>
  <c r="G41" i="4"/>
  <c r="G40" i="4"/>
  <c r="K40" i="4"/>
  <c r="G109" i="4"/>
  <c r="K109" i="4" s="1"/>
  <c r="G106" i="4"/>
  <c r="G114" i="4"/>
  <c r="G112" i="4"/>
  <c r="K112" i="4" s="1"/>
  <c r="G67" i="4"/>
  <c r="K70" i="4"/>
  <c r="G93" i="4"/>
  <c r="G81" i="4"/>
  <c r="G58" i="4"/>
  <c r="K58" i="4"/>
  <c r="G75" i="4"/>
  <c r="K46" i="4"/>
  <c r="I15" i="4"/>
  <c r="G78" i="4"/>
  <c r="K78" i="4" s="1"/>
  <c r="K102" i="4"/>
  <c r="H101" i="4"/>
  <c r="J101" i="4"/>
  <c r="K101" i="4" s="1"/>
  <c r="H53" i="4"/>
  <c r="J53" i="4"/>
  <c r="K53" i="4" s="1"/>
  <c r="E24" i="4"/>
  <c r="J25" i="4"/>
  <c r="K25" i="4" s="1"/>
  <c r="J7" i="4"/>
  <c r="G20" i="4"/>
  <c r="K20" i="4" s="1"/>
  <c r="K77" i="4"/>
  <c r="K8" i="4"/>
  <c r="K57" i="4"/>
  <c r="J89" i="4"/>
  <c r="K7" i="4"/>
  <c r="K49" i="4"/>
  <c r="K61" i="4"/>
  <c r="J119" i="4"/>
  <c r="K119" i="4" s="1"/>
  <c r="I110" i="4"/>
  <c r="K139" i="4"/>
  <c r="E137" i="4"/>
  <c r="G137" i="4" s="1"/>
  <c r="E76" i="4"/>
  <c r="G76" i="4" s="1"/>
  <c r="I5" i="4"/>
  <c r="K12" i="4"/>
  <c r="G54" i="4"/>
  <c r="K54" i="4"/>
  <c r="E5" i="4"/>
  <c r="J93" i="4"/>
  <c r="K130" i="4"/>
  <c r="K132" i="4"/>
  <c r="K60" i="4"/>
  <c r="J121" i="4"/>
  <c r="K93" i="4"/>
  <c r="G5" i="4"/>
  <c r="J105" i="4"/>
  <c r="K105" i="4" s="1"/>
  <c r="J75" i="4"/>
  <c r="K75" i="4" s="1"/>
  <c r="K28" i="4"/>
  <c r="J11" i="4"/>
  <c r="K11" i="4"/>
  <c r="I127" i="4"/>
  <c r="K83" i="4"/>
  <c r="K76" i="4"/>
  <c r="H43" i="4"/>
  <c r="J43" i="4" s="1"/>
  <c r="K43" i="4"/>
  <c r="J34" i="4"/>
  <c r="K34" i="4" s="1"/>
  <c r="H24" i="4"/>
  <c r="K17" i="4"/>
  <c r="K15" i="4"/>
  <c r="J13" i="4"/>
  <c r="K127" i="4"/>
  <c r="K13" i="4"/>
  <c r="K118" i="4" l="1"/>
  <c r="K68" i="4"/>
  <c r="J96" i="4"/>
  <c r="K96" i="4" s="1"/>
  <c r="K84" i="4"/>
  <c r="J5" i="4"/>
  <c r="K5" i="4" s="1"/>
  <c r="K120" i="4"/>
  <c r="K10" i="4"/>
  <c r="K124" i="4"/>
  <c r="K99" i="4"/>
  <c r="G24" i="4"/>
  <c r="K89" i="4"/>
  <c r="K121" i="4"/>
  <c r="K122" i="4"/>
  <c r="K90" i="4"/>
  <c r="J80" i="4"/>
  <c r="K80" i="4" s="1"/>
  <c r="E110" i="4"/>
  <c r="G110" i="4" s="1"/>
  <c r="K110" i="4" s="1"/>
  <c r="J82" i="4"/>
  <c r="K82" i="4" s="1"/>
  <c r="G52" i="4"/>
  <c r="K52" i="4" s="1"/>
  <c r="F24" i="4"/>
  <c r="G65" i="4"/>
  <c r="K65" i="4" s="1"/>
  <c r="J138" i="4"/>
  <c r="K138" i="4" s="1"/>
  <c r="J67" i="4"/>
  <c r="K67" i="4" s="1"/>
  <c r="H19" i="4"/>
  <c r="J19" i="4" s="1"/>
  <c r="K19" i="4" s="1"/>
  <c r="I24" i="4"/>
  <c r="J24" i="4" s="1"/>
  <c r="K24" i="4" s="1"/>
  <c r="J88" i="4"/>
  <c r="K88" i="4" s="1"/>
  <c r="G121" i="4"/>
  <c r="H50" i="4"/>
  <c r="J50" i="4" s="1"/>
  <c r="K50" i="4" s="1"/>
  <c r="G100" i="4"/>
  <c r="K100" i="4" s="1"/>
  <c r="J18" i="4"/>
  <c r="K18" i="4" s="1"/>
  <c r="F71" i="4"/>
  <c r="G71" i="4" s="1"/>
  <c r="K71" i="4" s="1"/>
  <c r="H92" i="4"/>
  <c r="J92" i="4" s="1"/>
  <c r="K92" i="4" s="1"/>
  <c r="J123" i="4"/>
  <c r="K123" i="4" s="1"/>
  <c r="E140" i="4" l="1"/>
  <c r="I140" i="4"/>
  <c r="F140" i="4"/>
  <c r="H140" i="4"/>
  <c r="J140" i="4" s="1"/>
  <c r="G140" i="4" l="1"/>
  <c r="K140" i="4" s="1"/>
</calcChain>
</file>

<file path=xl/sharedStrings.xml><?xml version="1.0" encoding="utf-8"?>
<sst xmlns="http://schemas.openxmlformats.org/spreadsheetml/2006/main" count="323" uniqueCount="215">
  <si>
    <t>Гол. розпорядник</t>
  </si>
  <si>
    <t>Департамент соціального захисту населення</t>
  </si>
  <si>
    <t>Разом</t>
  </si>
  <si>
    <t>Загальний фонд</t>
  </si>
  <si>
    <t>Спеціальний фонд</t>
  </si>
  <si>
    <t>Найменування програми</t>
  </si>
  <si>
    <t>№ з/п</t>
  </si>
  <si>
    <t>План</t>
  </si>
  <si>
    <t>Факт</t>
  </si>
  <si>
    <t>Департамент охорони здоров'я</t>
  </si>
  <si>
    <t>Служба у справах дітей</t>
  </si>
  <si>
    <t>Разом по програмі</t>
  </si>
  <si>
    <t>Обласна рада</t>
  </si>
  <si>
    <t>Департамент освіти і науки</t>
  </si>
  <si>
    <t xml:space="preserve"> </t>
  </si>
  <si>
    <t>Облдержадміністарція</t>
  </si>
  <si>
    <t>Департамент з питань культури національностей та релігії</t>
  </si>
  <si>
    <t>Департамент архітектури та розвитку містобудування</t>
  </si>
  <si>
    <t>Департамент агропромислового розвитку</t>
  </si>
  <si>
    <t>Департамент міжнародної технічної допомоги та міжнародного співробітництва</t>
  </si>
  <si>
    <t>Управління туризму та курортів</t>
  </si>
  <si>
    <t>Департамент економічної політики</t>
  </si>
  <si>
    <t>Департамент екології та природних ресурсів</t>
  </si>
  <si>
    <t>Департамент з питань цивільного захисту</t>
  </si>
  <si>
    <t>Департамент фінансів</t>
  </si>
  <si>
    <t>Код програмної класифікації видатків та кредитування місцевих бюджетів</t>
  </si>
  <si>
    <t>Фінансова підтримка засобів масової інформації</t>
  </si>
  <si>
    <t>Інші заходи у сфері засобів масової інформації</t>
  </si>
  <si>
    <t>Надання фінансової підтримки громадським організаціям ветеранів і осіб з  інвалідністю, діяльність яких має соціальну спрямованість</t>
  </si>
  <si>
    <t>Інші заходи у сфері соціального захисту і соціального забезпечення</t>
  </si>
  <si>
    <t>Інші субвенції з місцевого бюджету</t>
  </si>
  <si>
    <t>Підтримка спорту вищих досягнень та організацій, які здійснюють фізкультурно-спортивну діяльність в регіоні</t>
  </si>
  <si>
    <t>Проектування, реставрація та охорона пам'яток архітектури</t>
  </si>
  <si>
    <t>Розроблення схем планування та забудови територій (містобудівної документації)</t>
  </si>
  <si>
    <t>Збереження природно-заповідного фонду</t>
  </si>
  <si>
    <t>Природоохоронні заходи за рахунок цільових фондів</t>
  </si>
  <si>
    <t>Заходи з організації рятування на водах</t>
  </si>
  <si>
    <t>0813192</t>
  </si>
  <si>
    <t>0819770</t>
  </si>
  <si>
    <t>0813242</t>
  </si>
  <si>
    <t>1014082</t>
  </si>
  <si>
    <t>1115052</t>
  </si>
  <si>
    <t>1115062</t>
  </si>
  <si>
    <t>1317640</t>
  </si>
  <si>
    <t>2517630</t>
  </si>
  <si>
    <t>1917461</t>
  </si>
  <si>
    <t>Інші заходи в галузі культури і мистецтва</t>
  </si>
  <si>
    <t xml:space="preserve">                                                                                                         </t>
  </si>
  <si>
    <t>Інша діяльність у сфері державного управління</t>
  </si>
  <si>
    <t>0110180</t>
  </si>
  <si>
    <t>Інші заходи, пов´язані з економічною діяльністю</t>
  </si>
  <si>
    <t>Інші програми та заходи у сфері освіти</t>
  </si>
  <si>
    <t>0712152</t>
  </si>
  <si>
    <t xml:space="preserve">Інші субвенції з місцевого бюджету </t>
  </si>
  <si>
    <t>0919770</t>
  </si>
  <si>
    <t>Заходи з енергозбереження</t>
  </si>
  <si>
    <t>1617350</t>
  </si>
  <si>
    <t>Надання пільгових довгострокових кредитів молодим сім’ям та одиноким молодим громадянам на будівництво/придбання житла</t>
  </si>
  <si>
    <t>Надання довгострокових кредитів індивідуальним забудовникам житла на селі</t>
  </si>
  <si>
    <t>Утримання та розвиток автомобільних доріг та дорожньої інфраструктури за рахунок коштів місцевого бюджету</t>
  </si>
  <si>
    <t>Реалізація програм і заходів в галузі зовнішньоекономічної діяльності</t>
  </si>
  <si>
    <t>Реалізація програм і заходів в галузі туризму та курортів</t>
  </si>
  <si>
    <t>2818320</t>
  </si>
  <si>
    <t>Субвенція з місцевого бюджету державному бюджету на виконання програм соціально-економічного розвитку регіонів</t>
  </si>
  <si>
    <t>0210180</t>
  </si>
  <si>
    <t>Департамент комунікацій та внутрішньої політики</t>
  </si>
  <si>
    <t>Регіональна програма сприяння розвитку інформаційного простору та громадянського суспільства у Львівській області на 2021-2025 роки</t>
  </si>
  <si>
    <t>0118420</t>
  </si>
  <si>
    <t>2318420</t>
  </si>
  <si>
    <t>2317693</t>
  </si>
  <si>
    <t>Інші заходи, пов'язані з економічною діяльністю</t>
  </si>
  <si>
    <t>Програма розвитку освіти Львівської області на 2021-2025 роки</t>
  </si>
  <si>
    <t>0611142</t>
  </si>
  <si>
    <t>0611025</t>
  </si>
  <si>
    <t>Надання загальної середньої освіти навчально-реабілітаційними центрами для дітей з особлиими освітніми потребами, зумовленими складними порушеннями розвитку</t>
  </si>
  <si>
    <t>Комплексна програма підтримки галузі охорони здоров'я Львівської області на 2021-2025 роки</t>
  </si>
  <si>
    <t>0712010</t>
  </si>
  <si>
    <t>Багатопрофільна стаціонарна медична допомога населенню</t>
  </si>
  <si>
    <t>0712020</t>
  </si>
  <si>
    <t>Спеціалізована стаціонарна медична допомога населенню</t>
  </si>
  <si>
    <t>0712030</t>
  </si>
  <si>
    <t>Лікарсько-акушерська допомога вагітним, породіллям та новонародженим</t>
  </si>
  <si>
    <t>0712050</t>
  </si>
  <si>
    <t>Медико-соціальний захист дітей-сиріт і дітей, позбавлених батьківського піклування</t>
  </si>
  <si>
    <t>0712060</t>
  </si>
  <si>
    <t>Створення банків крові та її компонентів</t>
  </si>
  <si>
    <t>0712070</t>
  </si>
  <si>
    <t>Екстренна та швидка медична допомога населенню</t>
  </si>
  <si>
    <t>0712090</t>
  </si>
  <si>
    <t>Спеціалізована амбулаторно-поліклінічна допомога населенню</t>
  </si>
  <si>
    <t>0712130</t>
  </si>
  <si>
    <t>Проведення належної медико-соціальної експертизи (МСЕК)</t>
  </si>
  <si>
    <t>0712151</t>
  </si>
  <si>
    <t>Забезпечення діяльності інших закладів у сфері охорони здоров'я</t>
  </si>
  <si>
    <t>Інші програми та заходи у сфері охорони здоров'я</t>
  </si>
  <si>
    <t>Комплексна програма соціальної підтримки окремих категорій громадян Львівської області на 2021-2025 роки</t>
  </si>
  <si>
    <t>Регіональна програма забезпечення житлом дітей-сиріт, дітей, позбавлених батьківського піклування та осіб з їх числа у Львівській області на 2021-2025 роки</t>
  </si>
  <si>
    <t>Комплексна програма розвитку культури Львівщини на 2021-2025 роки</t>
  </si>
  <si>
    <t>1115011</t>
  </si>
  <si>
    <t>Проведення навчально-тренувальних зборів і змагань з олімпійських видів спорту</t>
  </si>
  <si>
    <t>Управління молоді та спорту</t>
  </si>
  <si>
    <t>1115012</t>
  </si>
  <si>
    <t>Проведення навчально-тренувальних зборів і змагань з неолімпійських видів спорту</t>
  </si>
  <si>
    <t>1115021</t>
  </si>
  <si>
    <t>Утримання центрів фізичної культури і спорту осіб з інвалідністю і реабілітаційних шкіл</t>
  </si>
  <si>
    <t>Фінансова підтримка регіональних осередків всеукраїнських організацій фізкультурно-спортивної спрямованості у  здійсненні фізкультурно-масових заходів серед населення регіону</t>
  </si>
  <si>
    <t>1115022</t>
  </si>
  <si>
    <t>Проведення навчально-тренувальних зборів і змагань та заходів з інвалідного спорту</t>
  </si>
  <si>
    <t>Програма підтримки розвитку Пласту у Львівській області на 2021-2025 роки</t>
  </si>
  <si>
    <t>1113133</t>
  </si>
  <si>
    <t>Інші заходи та заклади молодіжної політики</t>
  </si>
  <si>
    <t>Комплексна програма "Безпечна Львівщина" на 2021-2025 роки</t>
  </si>
  <si>
    <t>Заходи із запобігання та ліквідації надзвичайних ситуацій та наслідків стихійного лиха</t>
  </si>
  <si>
    <t>2919770</t>
  </si>
  <si>
    <r>
      <t>Інші заходи, пов</t>
    </r>
    <r>
      <rPr>
        <sz val="14"/>
        <rFont val="Arial"/>
        <family val="2"/>
        <charset val="204"/>
      </rPr>
      <t>´</t>
    </r>
    <r>
      <rPr>
        <sz val="14"/>
        <rFont val="Times New Roman"/>
        <family val="1"/>
        <charset val="204"/>
      </rPr>
      <t>язані з економічною діяльністю</t>
    </r>
  </si>
  <si>
    <t>Програма охорони навколишнього природного середовища на 2021-2025 роки</t>
  </si>
  <si>
    <t>Програма  підвищення конкурентоспроможності Львівської області 2021-2025 роки</t>
  </si>
  <si>
    <t>Програма розвитку туризму та курортів у Львівській області на 2021-2025 роки</t>
  </si>
  <si>
    <t>Регіональна програма з міжнародного і траскордонного співробітництва, європейської інтеграції на 2021-2025 роки</t>
  </si>
  <si>
    <t>2519800</t>
  </si>
  <si>
    <t>Здійснення заходів та реалізація проєктів на виконання Державної цільової соціальної програми "Молодь України"</t>
  </si>
  <si>
    <t>Програма розвитку мережі й утримання автомобільних доріг, організації та безпеки дорожнього руху на 2021-2025 роки</t>
  </si>
  <si>
    <t>Комплексна програма надання житлових кредитів окремим категоріям громадян у Львівської області на 2021-2025 роки</t>
  </si>
  <si>
    <t>Охорона, збереження і популяризація історико-культурної спадщини Львівській області на 2021-2025 роки</t>
  </si>
  <si>
    <t xml:space="preserve">Комплексна програма підвищення енергоефективності,  енергозбереження та розвитку відновлювальної енергетики у  Львівській області на 2021-2025 роки </t>
  </si>
  <si>
    <t>Регіональна програма розвитку містобудівного кадастру та просторового планування на 2021-2025 роки</t>
  </si>
  <si>
    <t>1617693</t>
  </si>
  <si>
    <r>
      <t>Інші заходи, пов</t>
    </r>
    <r>
      <rPr>
        <sz val="14"/>
        <color indexed="8"/>
        <rFont val="Arial"/>
        <family val="2"/>
        <charset val="204"/>
      </rPr>
      <t>´</t>
    </r>
    <r>
      <rPr>
        <sz val="14"/>
        <color indexed="8"/>
        <rFont val="Times New Roman Cyr"/>
        <family val="1"/>
        <charset val="204"/>
      </rPr>
      <t>язані з економічною діяльністю</t>
    </r>
  </si>
  <si>
    <t>0717693</t>
  </si>
  <si>
    <t>Комплексна програма підтримки та розвитку сільського господарства у Львівській області на 2021-2025 роки</t>
  </si>
  <si>
    <t>Реалізація програм в галузі сільського господарства</t>
  </si>
  <si>
    <t>Програма сприяння інноваційному та науково-технологічному розвитку у Львівськй області на 2021-2025 роки</t>
  </si>
  <si>
    <t>2717693</t>
  </si>
  <si>
    <t>1113131</t>
  </si>
  <si>
    <t>2418861</t>
  </si>
  <si>
    <t>Надання бюджетних позичок суб'єктам господарювання</t>
  </si>
  <si>
    <t>1614082</t>
  </si>
  <si>
    <t>тис. грн</t>
  </si>
  <si>
    <t>2719770</t>
  </si>
  <si>
    <t>Відсоток фінансування</t>
  </si>
  <si>
    <t xml:space="preserve"> Інші заходи в галузі культури і мистецтва</t>
  </si>
  <si>
    <t>2317670</t>
  </si>
  <si>
    <t>Внески до статутного капіталу суб'єктів господарювання</t>
  </si>
  <si>
    <t>1517330</t>
  </si>
  <si>
    <t>Будівництво інших об'єктів комунальної власності</t>
  </si>
  <si>
    <t xml:space="preserve">Інші субвенції з місцевого бюджету               </t>
  </si>
  <si>
    <t>Управління капітального будівництва</t>
  </si>
  <si>
    <t>2017530</t>
  </si>
  <si>
    <t>Інші заходи у сфері зв'язку,телекомунікації та інформатики</t>
  </si>
  <si>
    <t>Управління з питань цифрового розвитку</t>
  </si>
  <si>
    <t>2019770</t>
  </si>
  <si>
    <t>2019800</t>
  </si>
  <si>
    <t>Програма підтримки та розвитку транспорту і зв'язку у Львівській області на 2022-2025 роки</t>
  </si>
  <si>
    <t>Компенсаційні виплати на пільговий проїзд автомобільним транспортом окремим категоріям громадян</t>
  </si>
  <si>
    <t>Управління транспорту та зв'язку</t>
  </si>
  <si>
    <t>3513035</t>
  </si>
  <si>
    <t>Компенсаційні виплати на пільговий проїзд окремим категоріям громадян на залізничному транспорті</t>
  </si>
  <si>
    <t>Регіональна програма інформатизації "Цифрова Львівщина" на 2022-2024 роки</t>
  </si>
  <si>
    <t xml:space="preserve">Програма відновлення, збереження національної пам'яті та протокольних заходів на 2021-2025 роки                                                                       </t>
  </si>
  <si>
    <t>0719770</t>
  </si>
  <si>
    <t>Програма виконання судових рішень та виконавчих документів на 2022-2025 роки</t>
  </si>
  <si>
    <t>1317693</t>
  </si>
  <si>
    <t>0813140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</si>
  <si>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</si>
  <si>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Комплексна програма соціальної підтримки у Львівській області Захисників та Захисниць України, членів їх сімей, а також учасників Революції Гідності та членів сімей Героїв Небесної Сотні на 2022-2025 роки</t>
  </si>
  <si>
    <t>Програма "Молодь Львівщини" на 2021-2025 роки</t>
  </si>
  <si>
    <t>1319770</t>
  </si>
  <si>
    <t>Комплексна програма підтримки внутрішньо переміщених осіб на період дії воєнного стану в Україні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</si>
  <si>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</si>
  <si>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</si>
  <si>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Програма підтримки бізнесу у Львівській області на період воєнного стану</t>
  </si>
  <si>
    <t>Програма реалізації пріоритетних інфрастуктурних проєктів у Львівській області</t>
  </si>
  <si>
    <t>Стан фінансування обласних програм у 2023 році</t>
  </si>
  <si>
    <t>Департамент дорожнього господарства</t>
  </si>
  <si>
    <t>1917463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</si>
  <si>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</si>
  <si>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2419770</t>
  </si>
  <si>
    <t>0717640</t>
  </si>
  <si>
    <t>2719720</t>
  </si>
  <si>
    <t>0619800</t>
  </si>
  <si>
    <t>0717322</t>
  </si>
  <si>
    <t>0817323</t>
  </si>
  <si>
    <t>1517322</t>
  </si>
  <si>
    <t>1517340</t>
  </si>
  <si>
    <t>Субвенція з місцевого бюджету на виконання інвестиційних проектів</t>
  </si>
  <si>
    <t xml:space="preserve"> Будівництво медичних установ та закладів</t>
  </si>
  <si>
    <t>Будівництво установ та закладів соціальної сфери</t>
  </si>
  <si>
    <r>
      <t>Будівництво</t>
    </r>
    <r>
      <rPr>
        <sz val="14"/>
        <color indexed="63"/>
        <rFont val="Times New Roman"/>
        <family val="1"/>
        <charset val="204"/>
      </rPr>
      <t> інших об'єктів комунальної власності</t>
    </r>
  </si>
  <si>
    <t>Комплексна програма розвитку фізичної  культури та  спорту  Львівщини на    2021-2025 роки</t>
  </si>
  <si>
    <t>1115031</t>
  </si>
  <si>
    <t>1115032</t>
  </si>
  <si>
    <t>1115033</t>
  </si>
  <si>
    <t>Утримання та навчально-тренувальна робота комунальних дитячо-юнацьких спортивних шкіл</t>
  </si>
  <si>
    <t>Фінансова підтримка дитячо-юнацьких спортивних шкіл фізкультурно-спортивних товариств</t>
  </si>
  <si>
    <t>Забезпечення підготовки спортсменів школами вищої спортивної майстерності</t>
  </si>
  <si>
    <t>0619770</t>
  </si>
  <si>
    <t>Комплексна програма посилення державотворчої й консолідаційної ролі української мови у Львівській області на 2023-2026 роки</t>
  </si>
  <si>
    <t>Департамент культури</t>
  </si>
  <si>
    <t>1119770</t>
  </si>
  <si>
    <t>2819800</t>
  </si>
  <si>
    <t>2819740</t>
  </si>
  <si>
    <t>Субвенція з місцевого бюджету на здійснення природоохоронних заходів</t>
  </si>
  <si>
    <t>0719800</t>
  </si>
  <si>
    <t>1019770</t>
  </si>
  <si>
    <t>1119800</t>
  </si>
  <si>
    <t>0219800</t>
  </si>
  <si>
    <t xml:space="preserve"> Інші заходи, пов'язані з економічною діяльністю</t>
  </si>
  <si>
    <t>1619720</t>
  </si>
  <si>
    <t>Інші субвенції з місцевого бюджету (житло для АТО)</t>
  </si>
  <si>
    <t>1117640</t>
  </si>
  <si>
    <t>Департамент паливно-енергетичного комплексу, енергоефективності та житлово-комунального господарства</t>
  </si>
  <si>
    <t>Програма покращення якості надання публічних послуг органами виконавчої влади на 2023 рік</t>
  </si>
  <si>
    <t>Станом на 07.07.2023</t>
  </si>
  <si>
    <r>
      <t xml:space="preserve"> 2023 рік </t>
    </r>
    <r>
      <rPr>
        <sz val="14"/>
        <rFont val="Times New Roman"/>
        <family val="1"/>
        <charset val="204"/>
      </rPr>
      <t>(станом на 07.07.2023)</t>
    </r>
  </si>
  <si>
    <t>3519770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</si>
</sst>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88" formatCode="#,##0\ &quot;z?&quot;;[Red]\-#,##0\ &quot;z?&quot;"/>
    <numFmt numFmtId="189" formatCode="#,##0.00\ &quot;z?&quot;;[Red]\-#,##0.00\ &quot;z?&quot;"/>
    <numFmt numFmtId="190" formatCode="_-* #,##0\ _р_._-;\-* #,##0\ _р_._-;_-* &quot;-&quot;\ _р_._-;_-@_-"/>
    <numFmt numFmtId="191" formatCode="_-* #,##0.00\ _р_._-;\-* #,##0.00\ _р_._-;_-* &quot;-&quot;??\ _р_._-;_-@_-"/>
    <numFmt numFmtId="192" formatCode="_-* #,##0\ &quot;р.&quot;_-;\-* #,##0\ &quot;р.&quot;_-;_-* &quot;-&quot;\ &quot;р.&quot;_-;_-@_-"/>
    <numFmt numFmtId="193" formatCode="_-* #,##0.00\ &quot;р.&quot;_-;\-* #,##0.00\ &quot;р.&quot;_-;_-* &quot;-&quot;??\ &quot;р.&quot;_-;_-@_-"/>
    <numFmt numFmtId="194" formatCode="_-* #,##0\ _z_?_-;\-* #,##0\ _z_?_-;_-* &quot;-&quot;\ _z_?_-;_-@_-"/>
    <numFmt numFmtId="195" formatCode="_-* #,##0.00\ _z_?_-;\-* #,##0.00\ _z_?_-;_-* &quot;-&quot;??\ _z_?_-;_-@_-"/>
    <numFmt numFmtId="196" formatCode="#,##0.\-"/>
    <numFmt numFmtId="197" formatCode="_(&quot;$&quot;* #,##0_);_(&quot;$&quot;* \(#,##0\);_(&quot;$&quot;* &quot;-&quot;_);_(@_)"/>
    <numFmt numFmtId="198" formatCode="_(&quot;$&quot;* #,##0.00_);_(&quot;$&quot;* \(#,##0.00\);_(&quot;$&quot;* &quot;-&quot;??_);_(@_)"/>
    <numFmt numFmtId="199" formatCode="_-* #,##0.00\ &quot;грн.&quot;_-;\-* #,##0.00\ &quot;грн.&quot;_-;_-* &quot;-&quot;??\ &quot;грн.&quot;_-;_-@_-"/>
    <numFmt numFmtId="201" formatCode="_-* #,##0.00\ _г_р_н_._-;\-* #,##0.00\ _г_р_н_._-;_-* &quot;-&quot;??\ _г_р_н_._-;_-@_-"/>
    <numFmt numFmtId="203" formatCode="#,##0\ &quot;грн.&quot;;\-#,##0\ &quot;грн.&quot;"/>
    <numFmt numFmtId="204" formatCode="#,##0.0"/>
    <numFmt numFmtId="205" formatCode="#,##0.000"/>
  </numFmts>
  <fonts count="49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Courier New"/>
      <family val="3"/>
      <charset val="204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4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color indexed="8"/>
      <name val="Times New Roman Cyr"/>
      <family val="1"/>
      <charset val="204"/>
    </font>
    <font>
      <sz val="14"/>
      <color indexed="8"/>
      <name val="Arial"/>
      <family val="2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 Cyr"/>
      <charset val="204"/>
    </font>
    <font>
      <b/>
      <i/>
      <sz val="14"/>
      <name val="Times New Roman"/>
      <family val="1"/>
      <charset val="204"/>
    </font>
    <font>
      <sz val="14"/>
      <color indexed="63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16">
    <xf numFmtId="0" fontId="0" fillId="0" borderId="0"/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6" fillId="0" borderId="0"/>
    <xf numFmtId="0" fontId="2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6" fillId="0" borderId="0"/>
    <xf numFmtId="0" fontId="6" fillId="0" borderId="0"/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8" fillId="0" borderId="0">
      <protection locked="0"/>
    </xf>
    <xf numFmtId="0" fontId="8" fillId="0" borderId="0">
      <protection locked="0"/>
    </xf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188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9" fontId="12" fillId="0" borderId="0"/>
    <xf numFmtId="4" fontId="13" fillId="0" borderId="0" applyFill="0" applyBorder="0" applyProtection="0">
      <alignment horizontal="right"/>
    </xf>
    <xf numFmtId="3" fontId="13" fillId="0" borderId="0" applyFill="0" applyBorder="0" applyProtection="0"/>
    <xf numFmtId="4" fontId="13" fillId="0" borderId="0"/>
    <xf numFmtId="3" fontId="13" fillId="0" borderId="0"/>
    <xf numFmtId="190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3" fontId="14" fillId="0" borderId="0" applyFont="0" applyFill="0" applyBorder="0" applyAlignment="0" applyProtection="0"/>
    <xf numFmtId="16" fontId="12" fillId="0" borderId="0"/>
    <xf numFmtId="194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6" fontId="15" fillId="16" borderId="0"/>
    <xf numFmtId="0" fontId="16" fillId="17" borderId="0"/>
    <xf numFmtId="196" fontId="17" fillId="0" borderId="0"/>
    <xf numFmtId="0" fontId="11" fillId="0" borderId="0"/>
    <xf numFmtId="10" fontId="13" fillId="18" borderId="0" applyFill="0" applyBorder="0" applyProtection="0">
      <alignment horizontal="center"/>
    </xf>
    <xf numFmtId="10" fontId="13" fillId="0" borderId="0"/>
    <xf numFmtId="10" fontId="18" fillId="18" borderId="0" applyFill="0" applyBorder="0" applyProtection="0">
      <alignment horizontal="center"/>
    </xf>
    <xf numFmtId="0" fontId="13" fillId="0" borderId="0"/>
    <xf numFmtId="0" fontId="14" fillId="0" borderId="0"/>
    <xf numFmtId="0" fontId="2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0" fontId="12" fillId="0" borderId="0">
      <alignment horizontal="center"/>
    </xf>
    <xf numFmtId="0" fontId="19" fillId="18" borderId="0"/>
    <xf numFmtId="197" fontId="11" fillId="0" borderId="0" applyFont="0" applyFill="0" applyBorder="0" applyAlignment="0" applyProtection="0"/>
    <xf numFmtId="198" fontId="11" fillId="0" borderId="0" applyFont="0" applyFill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20" fillId="7" borderId="2" applyNumberFormat="0" applyAlignment="0" applyProtection="0"/>
    <xf numFmtId="0" fontId="20" fillId="7" borderId="2" applyNumberFormat="0" applyAlignment="0" applyProtection="0"/>
    <xf numFmtId="0" fontId="21" fillId="18" borderId="3" applyNumberFormat="0" applyAlignment="0" applyProtection="0"/>
    <xf numFmtId="0" fontId="22" fillId="18" borderId="2" applyNumberFormat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199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30" fillId="23" borderId="9" applyNumberFormat="0" applyAlignment="0" applyProtection="0"/>
    <xf numFmtId="0" fontId="30" fillId="23" borderId="9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22" fillId="18" borderId="2" applyNumberFormat="0" applyAlignment="0" applyProtection="0"/>
    <xf numFmtId="0" fontId="1" fillId="0" borderId="0"/>
    <xf numFmtId="0" fontId="1" fillId="0" borderId="0"/>
    <xf numFmtId="0" fontId="38" fillId="0" borderId="0"/>
    <xf numFmtId="0" fontId="38" fillId="0" borderId="0"/>
    <xf numFmtId="0" fontId="29" fillId="0" borderId="8" applyNumberFormat="0" applyFill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38" fillId="25" borderId="10" applyNumberFormat="0" applyFont="0" applyAlignment="0" applyProtection="0"/>
    <xf numFmtId="0" fontId="9" fillId="25" borderId="10" applyNumberFormat="0" applyFont="0" applyAlignment="0" applyProtection="0"/>
    <xf numFmtId="0" fontId="21" fillId="18" borderId="3" applyNumberFormat="0" applyAlignment="0" applyProtection="0"/>
    <xf numFmtId="0" fontId="28" fillId="0" borderId="7" applyNumberFormat="0" applyFill="0" applyAlignment="0" applyProtection="0"/>
    <xf numFmtId="0" fontId="32" fillId="24" borderId="0" applyNumberFormat="0" applyBorder="0" applyAlignment="0" applyProtection="0"/>
    <xf numFmtId="0" fontId="2" fillId="0" borderId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90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201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3" fontId="38" fillId="0" borderId="0" applyFont="0" applyFill="0" applyBorder="0" applyAlignment="0" applyProtection="0"/>
    <xf numFmtId="201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3" fillId="0" borderId="0">
      <protection locked="0"/>
    </xf>
  </cellStyleXfs>
  <cellXfs count="37">
    <xf numFmtId="0" fontId="0" fillId="0" borderId="0" xfId="0"/>
    <xf numFmtId="0" fontId="17" fillId="0" borderId="1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204" fontId="16" fillId="0" borderId="11" xfId="0" applyNumberFormat="1" applyFont="1" applyFill="1" applyBorder="1" applyAlignment="1">
      <alignment horizontal="center" vertical="center" wrapText="1"/>
    </xf>
    <xf numFmtId="204" fontId="17" fillId="0" borderId="11" xfId="0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36" fillId="26" borderId="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vertical="center" wrapText="1"/>
    </xf>
    <xf numFmtId="204" fontId="17" fillId="0" borderId="0" xfId="0" applyNumberFormat="1" applyFont="1" applyBorder="1" applyAlignment="1">
      <alignment horizontal="center" vertical="center" wrapText="1"/>
    </xf>
    <xf numFmtId="205" fontId="17" fillId="0" borderId="0" xfId="0" applyNumberFormat="1" applyFont="1" applyBorder="1" applyAlignment="1">
      <alignment horizontal="center" vertical="center" wrapText="1"/>
    </xf>
    <xf numFmtId="0" fontId="45" fillId="0" borderId="11" xfId="0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vertical="center" wrapText="1"/>
    </xf>
    <xf numFmtId="4" fontId="46" fillId="0" borderId="11" xfId="0" applyNumberFormat="1" applyFont="1" applyFill="1" applyBorder="1" applyAlignment="1">
      <alignment horizontal="center" vertical="center" wrapText="1"/>
    </xf>
    <xf numFmtId="49" fontId="41" fillId="0" borderId="11" xfId="0" applyNumberFormat="1" applyFont="1" applyFill="1" applyBorder="1" applyAlignment="1">
      <alignment horizontal="center" vertical="center" wrapText="1"/>
    </xf>
    <xf numFmtId="0" fontId="17" fillId="0" borderId="11" xfId="0" applyNumberFormat="1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vertical="center" wrapText="1"/>
    </xf>
    <xf numFmtId="0" fontId="39" fillId="0" borderId="11" xfId="0" applyFont="1" applyFill="1" applyBorder="1" applyAlignment="1">
      <alignment horizontal="center" vertical="center" wrapText="1"/>
    </xf>
    <xf numFmtId="204" fontId="40" fillId="0" borderId="11" xfId="0" applyNumberFormat="1" applyFont="1" applyFill="1" applyBorder="1" applyAlignment="1">
      <alignment horizontal="center" vertical="center" wrapText="1"/>
    </xf>
    <xf numFmtId="204" fontId="39" fillId="0" borderId="11" xfId="0" applyNumberFormat="1" applyFont="1" applyFill="1" applyBorder="1" applyAlignment="1">
      <alignment horizontal="center" vertical="center" wrapText="1"/>
    </xf>
    <xf numFmtId="0" fontId="41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1" xfId="0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</cellXfs>
  <cellStyles count="216">
    <cellStyle name="?’ЋѓЋ‚›‰" xfId="6"/>
    <cellStyle name="?’ЋѓЋ‚›‰ 2" xfId="7"/>
    <cellStyle name="?’ЋѓЋ‚›‰_320_dod_1-8" xfId="8"/>
    <cellStyle name="_Veresen_derg" xfId="13"/>
    <cellStyle name="_Вик01102002 держ" xfId="14"/>
    <cellStyle name="_доходи" xfId="15"/>
    <cellStyle name="_Книга1" xfId="20"/>
    <cellStyle name="_освіта 25.12.2015 дод 9  2016" xfId="53"/>
    <cellStyle name="_ПНП" xfId="54"/>
    <cellStyle name="_Прогноз ДМ по районах" xfId="55"/>
    <cellStyle name="”?ЌЂЌ‘Ћ‚›‰" xfId="57"/>
    <cellStyle name="”?ЌЂЌ‘Ћ‚›‰ 2" xfId="58"/>
    <cellStyle name="”?ЌЂЌ‘Ћ‚›‰_320_dod_1-8" xfId="59"/>
    <cellStyle name="”?Љ‘?ђЋ‚ЂЌЌ›‰" xfId="60"/>
    <cellStyle name="”?Љ‘?ђЋ‚ЂЌЌ›‰ 2" xfId="61"/>
    <cellStyle name="”?Љ‘?ђЋ‚ЂЌЌ›‰_320_dod_1-8" xfId="62"/>
    <cellStyle name="”€ЌЂЌ‘Ћ‚›‰" xfId="63"/>
    <cellStyle name="”€ЌЂЌ‘Ћ‚›‰ 2" xfId="64"/>
    <cellStyle name="”€ЌЂЌ‘Ћ‚›‰_320_dod_1-8" xfId="65"/>
    <cellStyle name="”€Љ‘€ђЋ‚ЂЌЌ›‰" xfId="66"/>
    <cellStyle name="”€Љ‘€ђЋ‚ЂЌЌ›‰ 2" xfId="67"/>
    <cellStyle name="”€Љ‘€ђЋ‚ЂЌЌ›‰_320_dod_1-8" xfId="68"/>
    <cellStyle name="”ЌЂЌ‘Ћ‚›‰" xfId="69"/>
    <cellStyle name="”Љ‘ђЋ‚ЂЌЌ›‰" xfId="70"/>
    <cellStyle name="„…Ќ…†Ќ›‰" xfId="71"/>
    <cellStyle name="€’ЋѓЋ‚›‰" xfId="74"/>
    <cellStyle name="€’ЋѓЋ‚›‰ 2" xfId="75"/>
    <cellStyle name="€’ЋѓЋ‚›‰_320_dod_1-8" xfId="76"/>
    <cellStyle name="‡ЂѓЋ‹Ћ‚ЋЉ1" xfId="72"/>
    <cellStyle name="‡ЂѓЋ‹Ћ‚ЋЉ2" xfId="73"/>
    <cellStyle name="’ЋѓЋ‚›‰" xfId="56"/>
    <cellStyle name="" xfId="1"/>
    <cellStyle name="" xfId="2"/>
    <cellStyle name="_320_dod_1-8" xfId="9"/>
    <cellStyle name="_320_dod_1-8" xfId="10"/>
    <cellStyle name="_доходи" xfId="16"/>
    <cellStyle name="_доходи" xfId="17"/>
    <cellStyle name="_Лист1" xfId="21"/>
    <cellStyle name="_Лист1" xfId="22"/>
    <cellStyle name="_Лист1_1" xfId="25"/>
    <cellStyle name="_Лист1_1" xfId="26"/>
    <cellStyle name="_Лист1_1 2" xfId="29"/>
    <cellStyle name="_Лист1_1 2" xfId="30"/>
    <cellStyle name="_Лист1_1 3" xfId="33"/>
    <cellStyle name="_Лист1_1 3" xfId="34"/>
    <cellStyle name="_Лист1_1 4" xfId="37"/>
    <cellStyle name="_Лист1_1 4" xfId="38"/>
    <cellStyle name="_Лист1_1 5" xfId="41"/>
    <cellStyle name="_Лист1_1 5" xfId="42"/>
    <cellStyle name="_Лист1_1 6" xfId="45"/>
    <cellStyle name="_Лист1_1 6" xfId="46"/>
    <cellStyle name="_Лист1_1 7" xfId="49"/>
    <cellStyle name="_Лист1_1 7" xfId="50"/>
    <cellStyle name="" xfId="3"/>
    <cellStyle name="" xfId="4"/>
    <cellStyle name="_320_dod_1-8" xfId="11"/>
    <cellStyle name="_320_dod_1-8" xfId="12"/>
    <cellStyle name="_доходи" xfId="18"/>
    <cellStyle name="_доходи" xfId="19"/>
    <cellStyle name="_Лист1" xfId="23"/>
    <cellStyle name="_Лист1" xfId="24"/>
    <cellStyle name="_Лист1_1" xfId="27"/>
    <cellStyle name="_Лист1_1" xfId="28"/>
    <cellStyle name="_Лист1_1 2" xfId="31"/>
    <cellStyle name="_Лист1_1 2" xfId="32"/>
    <cellStyle name="_Лист1_1 3" xfId="35"/>
    <cellStyle name="_Лист1_1 3" xfId="36"/>
    <cellStyle name="_Лист1_1 4" xfId="39"/>
    <cellStyle name="_Лист1_1 4" xfId="40"/>
    <cellStyle name="_Лист1_1 5" xfId="43"/>
    <cellStyle name="_Лист1_1 5" xfId="44"/>
    <cellStyle name="_Лист1_1 6" xfId="47"/>
    <cellStyle name="_Лист1_1 6" xfId="48"/>
    <cellStyle name="_Лист1_1 7" xfId="51"/>
    <cellStyle name="_Лист1_1 7" xfId="52"/>
    <cellStyle name="" xfId="5"/>
    <cellStyle name="1" xfId="77"/>
    <cellStyle name="2" xfId="78"/>
    <cellStyle name="20% - Акцент1" xfId="79"/>
    <cellStyle name="20% - Акцент2" xfId="80"/>
    <cellStyle name="20% - Акцент3" xfId="81"/>
    <cellStyle name="20% - Акцент4" xfId="82"/>
    <cellStyle name="20% - Акцент5" xfId="83"/>
    <cellStyle name="20% - Акцент6" xfId="84"/>
    <cellStyle name="40% - Акцент1" xfId="85"/>
    <cellStyle name="40% - Акцент2" xfId="86"/>
    <cellStyle name="40% - Акцент3" xfId="87"/>
    <cellStyle name="40% - Акцент4" xfId="88"/>
    <cellStyle name="40% - Акцент5" xfId="89"/>
    <cellStyle name="40% - Акцент6" xfId="90"/>
    <cellStyle name="60% - Акцент1" xfId="91"/>
    <cellStyle name="60% - Акцент2" xfId="92"/>
    <cellStyle name="60% - Акцент3" xfId="93"/>
    <cellStyle name="60% - Акцент4" xfId="94"/>
    <cellStyle name="60% - Акцент5" xfId="95"/>
    <cellStyle name="60% - Акцент6" xfId="96"/>
    <cellStyle name="Aaia?iue [0]_laroux" xfId="97"/>
    <cellStyle name="Aaia?iue_laroux" xfId="98"/>
    <cellStyle name="C?O" xfId="99"/>
    <cellStyle name="Cena$" xfId="100"/>
    <cellStyle name="CenaZ?" xfId="101"/>
    <cellStyle name="Ceny$" xfId="102"/>
    <cellStyle name="CenyZ?" xfId="103"/>
    <cellStyle name="Comma [0]_1996-1997-план 10 місяців" xfId="104"/>
    <cellStyle name="Comma_1996-1997-план 10 місяців" xfId="105"/>
    <cellStyle name="Currency [0]_1996-1997-план 10 місяців" xfId="106"/>
    <cellStyle name="Currency_1996-1997-план 10 місяців" xfId="107"/>
    <cellStyle name="Data" xfId="108"/>
    <cellStyle name="Dziesietny [0]_Arkusz1" xfId="109"/>
    <cellStyle name="Dziesietny_Arkusz1" xfId="110"/>
    <cellStyle name="Headline I" xfId="111"/>
    <cellStyle name="Headline II" xfId="112"/>
    <cellStyle name="Headline III" xfId="113"/>
    <cellStyle name="Iau?iue_laroux" xfId="114"/>
    <cellStyle name="Marza" xfId="115"/>
    <cellStyle name="Marza%" xfId="116"/>
    <cellStyle name="Marza_Veresen_derg" xfId="117"/>
    <cellStyle name="Nazwa" xfId="118"/>
    <cellStyle name="Normal_1996-1997-план 10 місяців" xfId="119"/>
    <cellStyle name="normalni_laroux" xfId="120"/>
    <cellStyle name="Normalny_A-FOUR TECH" xfId="121"/>
    <cellStyle name="Oeiainiaue [0]_laroux" xfId="122"/>
    <cellStyle name="Oeiainiaue_laroux" xfId="123"/>
    <cellStyle name="TrOds" xfId="124"/>
    <cellStyle name="Tytul" xfId="125"/>
    <cellStyle name="Walutowy [0]_Arkusz1" xfId="126"/>
    <cellStyle name="Walutowy_Arkusz1" xfId="127"/>
    <cellStyle name="Акцент1" xfId="128"/>
    <cellStyle name="Акцент2" xfId="129"/>
    <cellStyle name="Акцент3" xfId="130"/>
    <cellStyle name="Акцент4" xfId="131"/>
    <cellStyle name="Акцент5" xfId="132"/>
    <cellStyle name="Акцент6" xfId="133"/>
    <cellStyle name="Акцентування1" xfId="134" builtinId="29" customBuiltin="1"/>
    <cellStyle name="Акцентування2" xfId="135" builtinId="33" customBuiltin="1"/>
    <cellStyle name="Акцентування3" xfId="136" builtinId="37" customBuiltin="1"/>
    <cellStyle name="Акцентування4" xfId="137" builtinId="41" customBuiltin="1"/>
    <cellStyle name="Акцентування5" xfId="138" builtinId="45" customBuiltin="1"/>
    <cellStyle name="Акцентування6" xfId="139" builtinId="49" customBuiltin="1"/>
    <cellStyle name="Ввід" xfId="140" builtinId="20" customBuiltin="1"/>
    <cellStyle name="Ввод " xfId="141"/>
    <cellStyle name="Вывод" xfId="142"/>
    <cellStyle name="Вычисление" xfId="143"/>
    <cellStyle name="Гарний" xfId="144" builtinId="26" customBuiltin="1"/>
    <cellStyle name="Гарний 2" xfId="145"/>
    <cellStyle name="Грошовий 2" xfId="146"/>
    <cellStyle name="Добре" xfId="147"/>
    <cellStyle name="Заголовок 1" xfId="148" builtinId="16" customBuiltin="1"/>
    <cellStyle name="Заголовок 2" xfId="149" builtinId="17" customBuiltin="1"/>
    <cellStyle name="Заголовок 3" xfId="150" builtinId="18" customBuiltin="1"/>
    <cellStyle name="Заголовок 4" xfId="151" builtinId="19" customBuiltin="1"/>
    <cellStyle name="Звичайний" xfId="0" builtinId="0"/>
    <cellStyle name="Звичайний 10" xfId="152"/>
    <cellStyle name="Звичайний 11" xfId="153"/>
    <cellStyle name="Звичайний 12" xfId="154"/>
    <cellStyle name="Звичайний 13" xfId="155"/>
    <cellStyle name="Звичайний 14" xfId="156"/>
    <cellStyle name="Звичайний 15" xfId="157"/>
    <cellStyle name="Звичайний 16" xfId="158"/>
    <cellStyle name="Звичайний 17" xfId="159"/>
    <cellStyle name="Звичайний 18" xfId="160"/>
    <cellStyle name="Звичайний 19" xfId="161"/>
    <cellStyle name="Звичайний 2" xfId="162"/>
    <cellStyle name="Звичайний 2 2" xfId="163"/>
    <cellStyle name="Звичайний 2 2 2" xfId="164"/>
    <cellStyle name="Звичайний 2 3" xfId="165"/>
    <cellStyle name="Звичайний 2_13 Додаток ПТУ 1" xfId="166"/>
    <cellStyle name="Звичайний 20" xfId="167"/>
    <cellStyle name="Звичайний 3" xfId="168"/>
    <cellStyle name="Звичайний 3 2" xfId="169"/>
    <cellStyle name="Звичайний 4" xfId="170"/>
    <cellStyle name="Звичайний 4 2" xfId="171"/>
    <cellStyle name="Звичайний 4 2 2" xfId="172"/>
    <cellStyle name="Звичайний 4 3" xfId="173"/>
    <cellStyle name="Звичайний 4_13 Додаток ПТУ 1" xfId="174"/>
    <cellStyle name="Звичайний 5" xfId="175"/>
    <cellStyle name="Звичайний 6" xfId="176"/>
    <cellStyle name="Звичайний 7" xfId="177"/>
    <cellStyle name="Звичайний 8" xfId="178"/>
    <cellStyle name="Звичайний 9" xfId="179"/>
    <cellStyle name="Зв'язана клітинка" xfId="180" builtinId="24" customBuiltin="1"/>
    <cellStyle name="Итог" xfId="181"/>
    <cellStyle name="Контрольна клітинка" xfId="182" builtinId="23" customBuiltin="1"/>
    <cellStyle name="Контрольная ячейка" xfId="183"/>
    <cellStyle name="Назва" xfId="184" builtinId="15" customBuiltin="1"/>
    <cellStyle name="Название" xfId="185"/>
    <cellStyle name="Нейтральний" xfId="186" builtinId="28" customBuiltin="1"/>
    <cellStyle name="Нейтральний 2" xfId="187"/>
    <cellStyle name="Нейтральный" xfId="188"/>
    <cellStyle name="Обчислення" xfId="189" builtinId="22" customBuiltin="1"/>
    <cellStyle name="Обычный 2" xfId="190"/>
    <cellStyle name="Обычный 2 2" xfId="191"/>
    <cellStyle name="Обычный 2 2 2" xfId="192"/>
    <cellStyle name="Обычный 2 3" xfId="193"/>
    <cellStyle name="Підсумок" xfId="194" builtinId="25" customBuiltin="1"/>
    <cellStyle name="Плохой" xfId="195"/>
    <cellStyle name="Поганий" xfId="196" builtinId="27" customBuiltin="1"/>
    <cellStyle name="Пояснение" xfId="197"/>
    <cellStyle name="Примечание" xfId="198"/>
    <cellStyle name="Примечание 2" xfId="199"/>
    <cellStyle name="Примітка" xfId="200" builtinId="10" customBuiltin="1"/>
    <cellStyle name="Результат" xfId="201" builtinId="21" customBuiltin="1"/>
    <cellStyle name="Связанная ячейка" xfId="202"/>
    <cellStyle name="Середній" xfId="203"/>
    <cellStyle name="Стиль 1" xfId="204"/>
    <cellStyle name="Текст попередження" xfId="205" builtinId="11" customBuiltin="1"/>
    <cellStyle name="Текст пояснення" xfId="206" builtinId="53" customBuiltin="1"/>
    <cellStyle name="Текст предупреждения" xfId="207"/>
    <cellStyle name="Тысячи [0]_Додаток №1" xfId="208"/>
    <cellStyle name="Тысячи_Додаток №1" xfId="209"/>
    <cellStyle name="Фінансовий 2" xfId="210"/>
    <cellStyle name="Фінансовий 2 2" xfId="211"/>
    <cellStyle name="Фінансовий 2 2 2" xfId="212"/>
    <cellStyle name="Фінансовий 2 3" xfId="213"/>
    <cellStyle name="Хороший" xfId="214"/>
    <cellStyle name="ЏђЋ–…Ќ’Ќ›‰" xfId="2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0"/>
  <sheetViews>
    <sheetView tabSelected="1" view="pageBreakPreview" zoomScale="75" zoomScaleNormal="60" zoomScaleSheetLayoutView="75" workbookViewId="0">
      <pane xSplit="3" ySplit="4" topLeftCell="D77" activePane="bottomRight" state="frozen"/>
      <selection pane="topRight" activeCell="D1" sqref="D1"/>
      <selection pane="bottomLeft" activeCell="A5" sqref="A5"/>
      <selection pane="bottomRight" activeCell="J137" sqref="J137"/>
    </sheetView>
  </sheetViews>
  <sheetFormatPr defaultRowHeight="18.75"/>
  <cols>
    <col min="1" max="1" width="6" style="3" customWidth="1"/>
    <col min="2" max="2" width="14.7109375" style="7" customWidth="1"/>
    <col min="3" max="3" width="53.28515625" style="5" customWidth="1"/>
    <col min="4" max="4" width="30.5703125" style="3" customWidth="1"/>
    <col min="5" max="5" width="16.28515625" style="3" customWidth="1"/>
    <col min="6" max="6" width="15.5703125" style="3" customWidth="1"/>
    <col min="7" max="7" width="15.42578125" style="3" customWidth="1"/>
    <col min="8" max="8" width="16.5703125" style="3" customWidth="1"/>
    <col min="9" max="9" width="16" style="3" customWidth="1"/>
    <col min="10" max="10" width="15.42578125" style="3" customWidth="1"/>
    <col min="11" max="11" width="12" style="3" customWidth="1"/>
    <col min="12" max="16384" width="9.140625" style="3"/>
  </cols>
  <sheetData>
    <row r="1" spans="1:11" ht="18.75" customHeight="1">
      <c r="A1" s="31" t="s">
        <v>172</v>
      </c>
      <c r="B1" s="31"/>
      <c r="C1" s="31"/>
      <c r="D1" s="31"/>
      <c r="E1" s="31"/>
      <c r="F1" s="31"/>
      <c r="G1" s="31"/>
      <c r="H1" s="31"/>
      <c r="I1" s="31"/>
      <c r="J1" s="31"/>
      <c r="K1" s="11"/>
    </row>
    <row r="2" spans="1:11">
      <c r="A2" s="2" t="s">
        <v>14</v>
      </c>
      <c r="B2" s="6"/>
      <c r="C2" s="4"/>
      <c r="D2" s="32" t="s">
        <v>212</v>
      </c>
      <c r="E2" s="32"/>
      <c r="F2" s="2"/>
      <c r="G2" s="2"/>
      <c r="H2" s="2"/>
      <c r="I2" s="2"/>
      <c r="J2" s="12" t="s">
        <v>137</v>
      </c>
      <c r="K2" s="12"/>
    </row>
    <row r="3" spans="1:11" ht="28.9" customHeight="1">
      <c r="A3" s="28" t="s">
        <v>6</v>
      </c>
      <c r="B3" s="36" t="s">
        <v>25</v>
      </c>
      <c r="C3" s="28" t="s">
        <v>5</v>
      </c>
      <c r="D3" s="28" t="s">
        <v>0</v>
      </c>
      <c r="E3" s="28" t="s">
        <v>7</v>
      </c>
      <c r="F3" s="28"/>
      <c r="G3" s="28"/>
      <c r="H3" s="28" t="s">
        <v>8</v>
      </c>
      <c r="I3" s="28"/>
      <c r="J3" s="28"/>
      <c r="K3" s="28" t="s">
        <v>139</v>
      </c>
    </row>
    <row r="4" spans="1:11" ht="107.25" customHeight="1">
      <c r="A4" s="28"/>
      <c r="B4" s="36"/>
      <c r="C4" s="28"/>
      <c r="D4" s="28"/>
      <c r="E4" s="1" t="s">
        <v>3</v>
      </c>
      <c r="F4" s="1" t="s">
        <v>4</v>
      </c>
      <c r="G4" s="1" t="s">
        <v>2</v>
      </c>
      <c r="H4" s="1" t="s">
        <v>3</v>
      </c>
      <c r="I4" s="1" t="s">
        <v>4</v>
      </c>
      <c r="J4" s="1" t="s">
        <v>2</v>
      </c>
      <c r="K4" s="28"/>
    </row>
    <row r="5" spans="1:11" ht="113.25" customHeight="1">
      <c r="A5" s="28">
        <v>1</v>
      </c>
      <c r="B5" s="10" t="s">
        <v>47</v>
      </c>
      <c r="C5" s="17" t="s">
        <v>158</v>
      </c>
      <c r="D5" s="13" t="s">
        <v>11</v>
      </c>
      <c r="E5" s="8">
        <f>E6+E7+E9+E8</f>
        <v>4971.1000000000004</v>
      </c>
      <c r="F5" s="8">
        <f>F6+F7+F9+F8</f>
        <v>2800</v>
      </c>
      <c r="G5" s="8">
        <f t="shared" ref="G5:G10" si="0">E5+F5</f>
        <v>7771.1</v>
      </c>
      <c r="H5" s="8">
        <f>H6+H7+H9+H8</f>
        <v>1523.5739999999998</v>
      </c>
      <c r="I5" s="8">
        <f>I6+I7+I9+I8</f>
        <v>1400</v>
      </c>
      <c r="J5" s="8">
        <f t="shared" ref="J5:J11" si="1">H5+I5</f>
        <v>2923.5739999999996</v>
      </c>
      <c r="K5" s="8">
        <f t="shared" ref="K5:K25" si="2">J5/G5*100</f>
        <v>37.621108980710574</v>
      </c>
    </row>
    <row r="6" spans="1:11" ht="63" customHeight="1">
      <c r="A6" s="28"/>
      <c r="B6" s="10" t="s">
        <v>49</v>
      </c>
      <c r="C6" s="1" t="s">
        <v>48</v>
      </c>
      <c r="D6" s="1" t="s">
        <v>12</v>
      </c>
      <c r="E6" s="9">
        <v>1400</v>
      </c>
      <c r="F6" s="9"/>
      <c r="G6" s="8">
        <f t="shared" si="0"/>
        <v>1400</v>
      </c>
      <c r="H6" s="9">
        <f>21.62+23.5+66.874+152.3+31.5+36+92+15.2+1.4+17.52+4.6+334.7+3.3+4.26+2.6</f>
        <v>807.37399999999991</v>
      </c>
      <c r="I6" s="9"/>
      <c r="J6" s="8">
        <f t="shared" si="1"/>
        <v>807.37399999999991</v>
      </c>
      <c r="K6" s="8">
        <f t="shared" si="2"/>
        <v>57.669571428571423</v>
      </c>
    </row>
    <row r="7" spans="1:11" ht="60.75" customHeight="1">
      <c r="A7" s="28"/>
      <c r="B7" s="10" t="s">
        <v>64</v>
      </c>
      <c r="C7" s="1" t="s">
        <v>48</v>
      </c>
      <c r="D7" s="1" t="s">
        <v>15</v>
      </c>
      <c r="E7" s="9">
        <f>2000+150</f>
        <v>2150</v>
      </c>
      <c r="F7" s="9"/>
      <c r="G7" s="8">
        <f t="shared" si="0"/>
        <v>2150</v>
      </c>
      <c r="H7" s="9">
        <f>57.41+11.7+43.3+30+99.6+82.2</f>
        <v>324.20999999999998</v>
      </c>
      <c r="I7" s="9"/>
      <c r="J7" s="8">
        <f t="shared" si="1"/>
        <v>324.20999999999998</v>
      </c>
      <c r="K7" s="8">
        <f t="shared" si="2"/>
        <v>15.07953488372093</v>
      </c>
    </row>
    <row r="8" spans="1:11" ht="63.75" customHeight="1">
      <c r="A8" s="28"/>
      <c r="B8" s="10" t="s">
        <v>141</v>
      </c>
      <c r="C8" s="1" t="s">
        <v>142</v>
      </c>
      <c r="D8" s="28" t="s">
        <v>65</v>
      </c>
      <c r="E8" s="9"/>
      <c r="F8" s="9">
        <v>2800</v>
      </c>
      <c r="G8" s="8">
        <f t="shared" si="0"/>
        <v>2800</v>
      </c>
      <c r="H8" s="9"/>
      <c r="I8" s="9">
        <f>690+470+240</f>
        <v>1400</v>
      </c>
      <c r="J8" s="8">
        <f t="shared" si="1"/>
        <v>1400</v>
      </c>
      <c r="K8" s="8">
        <f t="shared" si="2"/>
        <v>50</v>
      </c>
    </row>
    <row r="9" spans="1:11" ht="71.25" customHeight="1">
      <c r="A9" s="28"/>
      <c r="B9" s="10" t="s">
        <v>69</v>
      </c>
      <c r="C9" s="1" t="s">
        <v>50</v>
      </c>
      <c r="D9" s="28"/>
      <c r="E9" s="9">
        <f>1370+51.1</f>
        <v>1421.1</v>
      </c>
      <c r="F9" s="9"/>
      <c r="G9" s="8">
        <f t="shared" si="0"/>
        <v>1421.1</v>
      </c>
      <c r="H9" s="9">
        <f>54.16+11.3+40.23+51.3+8.5+2.7+3.5+2.4+31.3+21.8+14+38.2+10.5+26.3+49.2+26.6</f>
        <v>391.99000000000007</v>
      </c>
      <c r="I9" s="9"/>
      <c r="J9" s="8">
        <f t="shared" si="1"/>
        <v>391.99000000000007</v>
      </c>
      <c r="K9" s="8">
        <f t="shared" si="2"/>
        <v>27.583562029413837</v>
      </c>
    </row>
    <row r="10" spans="1:11" ht="128.25" customHeight="1">
      <c r="A10" s="28">
        <v>2</v>
      </c>
      <c r="B10" s="14"/>
      <c r="C10" s="18" t="s">
        <v>66</v>
      </c>
      <c r="D10" s="13" t="s">
        <v>11</v>
      </c>
      <c r="E10" s="8">
        <f>SUM(E11:E14)</f>
        <v>44640</v>
      </c>
      <c r="F10" s="8">
        <f>SUM(F11:F14)</f>
        <v>0</v>
      </c>
      <c r="G10" s="8">
        <f t="shared" si="0"/>
        <v>44640</v>
      </c>
      <c r="H10" s="8">
        <f>SUM(H11:H14)</f>
        <v>20134.3</v>
      </c>
      <c r="I10" s="8">
        <f>SUM(I11:I14)</f>
        <v>0</v>
      </c>
      <c r="J10" s="8">
        <f t="shared" si="1"/>
        <v>20134.3</v>
      </c>
      <c r="K10" s="8">
        <f t="shared" si="2"/>
        <v>45.103718637992827</v>
      </c>
    </row>
    <row r="11" spans="1:11" ht="62.25" customHeight="1">
      <c r="A11" s="28"/>
      <c r="B11" s="10" t="s">
        <v>67</v>
      </c>
      <c r="C11" s="1" t="s">
        <v>27</v>
      </c>
      <c r="D11" s="1" t="s">
        <v>12</v>
      </c>
      <c r="E11" s="9">
        <v>1700</v>
      </c>
      <c r="F11" s="9"/>
      <c r="G11" s="8">
        <f t="shared" ref="G11:G18" si="3">E11+F11</f>
        <v>1700</v>
      </c>
      <c r="H11" s="9">
        <f>2+2+7+8+2</f>
        <v>21</v>
      </c>
      <c r="I11" s="9"/>
      <c r="J11" s="8">
        <f t="shared" si="1"/>
        <v>21</v>
      </c>
      <c r="K11" s="8">
        <f t="shared" si="2"/>
        <v>1.2352941176470587</v>
      </c>
    </row>
    <row r="12" spans="1:11" ht="63" customHeight="1">
      <c r="A12" s="28"/>
      <c r="B12" s="10" t="s">
        <v>69</v>
      </c>
      <c r="C12" s="1" t="s">
        <v>70</v>
      </c>
      <c r="D12" s="28" t="s">
        <v>65</v>
      </c>
      <c r="E12" s="9">
        <v>370</v>
      </c>
      <c r="F12" s="9"/>
      <c r="G12" s="8">
        <f t="shared" si="3"/>
        <v>370</v>
      </c>
      <c r="H12" s="9"/>
      <c r="I12" s="9"/>
      <c r="J12" s="8">
        <f t="shared" ref="J12:J18" si="4">H12+I12</f>
        <v>0</v>
      </c>
      <c r="K12" s="8">
        <f t="shared" si="2"/>
        <v>0</v>
      </c>
    </row>
    <row r="13" spans="1:11" ht="64.5" customHeight="1">
      <c r="A13" s="28"/>
      <c r="B13" s="10">
        <v>2318410</v>
      </c>
      <c r="C13" s="1" t="s">
        <v>26</v>
      </c>
      <c r="D13" s="28"/>
      <c r="E13" s="9">
        <v>39620</v>
      </c>
      <c r="F13" s="9"/>
      <c r="G13" s="8">
        <f t="shared" si="3"/>
        <v>39620</v>
      </c>
      <c r="H13" s="9">
        <f>536.8+2501+512.4+2490.4+524.2+49.6+2440+750+2376.6+1260.4+1812+991.5+35.1+2040+644.8</f>
        <v>18964.8</v>
      </c>
      <c r="I13" s="9"/>
      <c r="J13" s="8">
        <f t="shared" si="4"/>
        <v>18964.8</v>
      </c>
      <c r="K13" s="8">
        <f t="shared" si="2"/>
        <v>47.866733972741038</v>
      </c>
    </row>
    <row r="14" spans="1:11" ht="63" customHeight="1">
      <c r="A14" s="28"/>
      <c r="B14" s="10" t="s">
        <v>68</v>
      </c>
      <c r="C14" s="1" t="s">
        <v>27</v>
      </c>
      <c r="D14" s="28"/>
      <c r="E14" s="9">
        <v>2950</v>
      </c>
      <c r="F14" s="9"/>
      <c r="G14" s="8">
        <f t="shared" si="3"/>
        <v>2950</v>
      </c>
      <c r="H14" s="9">
        <f>4.5+1+61.6+25.7+44.1+69.9+32.8+44.7+23+24.9+129.8+31.6+301.5+16.1+220+27.5+89.8</f>
        <v>1148.5</v>
      </c>
      <c r="I14" s="9"/>
      <c r="J14" s="8">
        <f t="shared" si="4"/>
        <v>1148.5</v>
      </c>
      <c r="K14" s="8">
        <f t="shared" si="2"/>
        <v>38.932203389830512</v>
      </c>
    </row>
    <row r="15" spans="1:11" ht="121.5" customHeight="1">
      <c r="A15" s="28">
        <v>3</v>
      </c>
      <c r="B15" s="1"/>
      <c r="C15" s="18" t="s">
        <v>71</v>
      </c>
      <c r="D15" s="13" t="s">
        <v>11</v>
      </c>
      <c r="E15" s="8">
        <f>SUM(E16:E18)</f>
        <v>62803.200000000004</v>
      </c>
      <c r="F15" s="8">
        <f>SUM(F16:F18)</f>
        <v>26925.9</v>
      </c>
      <c r="G15" s="8">
        <f t="shared" si="3"/>
        <v>89729.1</v>
      </c>
      <c r="H15" s="8">
        <f>SUM(H16:H18)</f>
        <v>10288.999999999998</v>
      </c>
      <c r="I15" s="8">
        <f>SUM(I16:I18)</f>
        <v>1366.9</v>
      </c>
      <c r="J15" s="8">
        <f>H15+I15</f>
        <v>11655.899999999998</v>
      </c>
      <c r="K15" s="8">
        <f t="shared" si="2"/>
        <v>12.990100201606833</v>
      </c>
    </row>
    <row r="16" spans="1:11" ht="99.75" customHeight="1">
      <c r="A16" s="28"/>
      <c r="B16" s="10" t="s">
        <v>73</v>
      </c>
      <c r="C16" s="1" t="s">
        <v>74</v>
      </c>
      <c r="D16" s="28" t="s">
        <v>13</v>
      </c>
      <c r="E16" s="9">
        <f>6500+93.2</f>
        <v>6593.2</v>
      </c>
      <c r="F16" s="9"/>
      <c r="G16" s="8">
        <f t="shared" si="3"/>
        <v>6593.2</v>
      </c>
      <c r="H16" s="9">
        <f>219.6+25.1+158.5+166.9+36.7+288.5+114.2+327.8+127.8+244.3+194.5+198.2+566+568+225</f>
        <v>3461.1</v>
      </c>
      <c r="I16" s="9"/>
      <c r="J16" s="8">
        <f t="shared" si="4"/>
        <v>3461.1</v>
      </c>
      <c r="K16" s="8">
        <f t="shared" si="2"/>
        <v>52.494994843171753</v>
      </c>
    </row>
    <row r="17" spans="1:11" ht="79.5" customHeight="1">
      <c r="A17" s="28"/>
      <c r="B17" s="10" t="s">
        <v>72</v>
      </c>
      <c r="C17" s="1" t="s">
        <v>51</v>
      </c>
      <c r="D17" s="28"/>
      <c r="E17" s="9">
        <f>58413.9+23308.7-25745.9-723.6-6500</f>
        <v>48753.100000000006</v>
      </c>
      <c r="F17" s="9">
        <f>1180+25745.9</f>
        <v>26925.9</v>
      </c>
      <c r="G17" s="8">
        <f t="shared" si="3"/>
        <v>75679</v>
      </c>
      <c r="H17" s="9">
        <f>913.9+56+27.5+9.6+417.5+27.1+3128.8+159.4+39.6+344.4+1299+171.8</f>
        <v>6594.5999999999995</v>
      </c>
      <c r="I17" s="9">
        <f>1180+186.9</f>
        <v>1366.9</v>
      </c>
      <c r="J17" s="8">
        <f t="shared" si="4"/>
        <v>7961.5</v>
      </c>
      <c r="K17" s="8">
        <f t="shared" si="2"/>
        <v>10.520091438840366</v>
      </c>
    </row>
    <row r="18" spans="1:11" ht="69.75" customHeight="1">
      <c r="A18" s="28"/>
      <c r="B18" s="10" t="s">
        <v>195</v>
      </c>
      <c r="C18" s="1" t="s">
        <v>53</v>
      </c>
      <c r="D18" s="28"/>
      <c r="E18" s="9">
        <f>233.3+723.6+6500</f>
        <v>7456.9</v>
      </c>
      <c r="F18" s="9"/>
      <c r="G18" s="8">
        <f t="shared" si="3"/>
        <v>7456.9</v>
      </c>
      <c r="H18" s="9">
        <f>233.3</f>
        <v>233.3</v>
      </c>
      <c r="I18" s="9"/>
      <c r="J18" s="8">
        <f t="shared" si="4"/>
        <v>233.3</v>
      </c>
      <c r="K18" s="8">
        <f t="shared" si="2"/>
        <v>3.1286459520712366</v>
      </c>
    </row>
    <row r="19" spans="1:11" ht="140.25" customHeight="1">
      <c r="A19" s="28">
        <v>4</v>
      </c>
      <c r="B19" s="10"/>
      <c r="C19" s="18" t="s">
        <v>196</v>
      </c>
      <c r="D19" s="13" t="s">
        <v>11</v>
      </c>
      <c r="E19" s="8">
        <f>SUM(E20:E23)</f>
        <v>3522.5</v>
      </c>
      <c r="F19" s="8">
        <f>SUM(F20:F23)</f>
        <v>0</v>
      </c>
      <c r="G19" s="8">
        <f>SUM(E19:F19)</f>
        <v>3522.5</v>
      </c>
      <c r="H19" s="8">
        <f>SUM(H20:H23)</f>
        <v>939.1</v>
      </c>
      <c r="I19" s="8">
        <f>SUM(I20:I23)</f>
        <v>0</v>
      </c>
      <c r="J19" s="8">
        <f>SUM(H19:I19)</f>
        <v>939.1</v>
      </c>
      <c r="K19" s="8">
        <f>J19/G19*100</f>
        <v>26.660042583392478</v>
      </c>
    </row>
    <row r="20" spans="1:11" ht="73.5" customHeight="1">
      <c r="A20" s="28"/>
      <c r="B20" s="10" t="s">
        <v>72</v>
      </c>
      <c r="C20" s="1" t="s">
        <v>51</v>
      </c>
      <c r="D20" s="1" t="s">
        <v>13</v>
      </c>
      <c r="E20" s="9">
        <f>1872.5</f>
        <v>1872.5</v>
      </c>
      <c r="F20" s="9"/>
      <c r="G20" s="8">
        <f>SUM(E20:F20)</f>
        <v>1872.5</v>
      </c>
      <c r="H20" s="9">
        <f>300+5+60.1</f>
        <v>365.1</v>
      </c>
      <c r="I20" s="9"/>
      <c r="J20" s="8">
        <f>SUM(H20:I20)</f>
        <v>365.1</v>
      </c>
      <c r="K20" s="8">
        <f>J20/G20*100</f>
        <v>19.497997329773032</v>
      </c>
    </row>
    <row r="21" spans="1:11" ht="73.5" customHeight="1">
      <c r="A21" s="28"/>
      <c r="B21" s="10" t="s">
        <v>203</v>
      </c>
      <c r="C21" s="1" t="s">
        <v>53</v>
      </c>
      <c r="D21" s="29" t="s">
        <v>197</v>
      </c>
      <c r="E21" s="9">
        <v>365</v>
      </c>
      <c r="F21" s="9"/>
      <c r="G21" s="8">
        <f>SUM(E21:F21)</f>
        <v>365</v>
      </c>
      <c r="H21" s="9">
        <v>365</v>
      </c>
      <c r="I21" s="9"/>
      <c r="J21" s="8">
        <f>SUM(H21:I21)</f>
        <v>365</v>
      </c>
      <c r="K21" s="8">
        <f>J21/G21*100</f>
        <v>100</v>
      </c>
    </row>
    <row r="22" spans="1:11" ht="72.75" customHeight="1">
      <c r="A22" s="28"/>
      <c r="B22" s="10" t="s">
        <v>40</v>
      </c>
      <c r="C22" s="1" t="s">
        <v>140</v>
      </c>
      <c r="D22" s="30"/>
      <c r="E22" s="9">
        <f>1465-365</f>
        <v>1100</v>
      </c>
      <c r="F22" s="9"/>
      <c r="G22" s="8">
        <f>SUM(E22:F22)</f>
        <v>1100</v>
      </c>
      <c r="H22" s="9">
        <f>200</f>
        <v>200</v>
      </c>
      <c r="I22" s="9"/>
      <c r="J22" s="8">
        <f>SUM(H22:I22)</f>
        <v>200</v>
      </c>
      <c r="K22" s="8">
        <f>J22/G22*100</f>
        <v>18.181818181818183</v>
      </c>
    </row>
    <row r="23" spans="1:11" ht="79.5" customHeight="1">
      <c r="A23" s="28"/>
      <c r="B23" s="10" t="s">
        <v>68</v>
      </c>
      <c r="C23" s="1" t="s">
        <v>27</v>
      </c>
      <c r="D23" s="1" t="s">
        <v>65</v>
      </c>
      <c r="E23" s="9">
        <f>185</f>
        <v>185</v>
      </c>
      <c r="F23" s="9"/>
      <c r="G23" s="8">
        <f>SUM(E23:F23)</f>
        <v>185</v>
      </c>
      <c r="H23" s="9">
        <f>1.5+4.5+3</f>
        <v>9</v>
      </c>
      <c r="I23" s="9"/>
      <c r="J23" s="8">
        <f>SUM(H23:I23)</f>
        <v>9</v>
      </c>
      <c r="K23" s="8">
        <f>J23/G23*100</f>
        <v>4.8648648648648649</v>
      </c>
    </row>
    <row r="24" spans="1:11" ht="75" customHeight="1">
      <c r="A24" s="28">
        <v>5</v>
      </c>
      <c r="B24" s="10"/>
      <c r="C24" s="18" t="s">
        <v>75</v>
      </c>
      <c r="D24" s="13" t="s">
        <v>11</v>
      </c>
      <c r="E24" s="24">
        <f>SUM(E25:E37)</f>
        <v>788923.4</v>
      </c>
      <c r="F24" s="24">
        <f>SUM(F25:F37)</f>
        <v>216512</v>
      </c>
      <c r="G24" s="8">
        <f>E24+F24</f>
        <v>1005435.4</v>
      </c>
      <c r="H24" s="24">
        <f>SUM(H25:H37)</f>
        <v>373278.5</v>
      </c>
      <c r="I24" s="24">
        <f>SUM(I25:I37)</f>
        <v>34716.9</v>
      </c>
      <c r="J24" s="8">
        <f>H24+I24</f>
        <v>407995.4</v>
      </c>
      <c r="K24" s="8">
        <f t="shared" si="2"/>
        <v>40.578977028260596</v>
      </c>
    </row>
    <row r="25" spans="1:11" ht="62.25" customHeight="1">
      <c r="A25" s="28"/>
      <c r="B25" s="10" t="s">
        <v>76</v>
      </c>
      <c r="C25" s="1" t="s">
        <v>77</v>
      </c>
      <c r="D25" s="29" t="s">
        <v>9</v>
      </c>
      <c r="E25" s="25">
        <f>51730.45+169.6+866.6</f>
        <v>52766.649999999994</v>
      </c>
      <c r="F25" s="9">
        <f>47.9+4039.8</f>
        <v>4087.7000000000003</v>
      </c>
      <c r="G25" s="8">
        <f>E25+F25</f>
        <v>56854.349999999991</v>
      </c>
      <c r="H25" s="9">
        <f>3.6+3246.6+2965.5+104.7+244.9+3227.9+1684.5+507.8+838.5+141.1+2555.5+235+862+3119.8+1391.1+1440.8</f>
        <v>22569.299999999996</v>
      </c>
      <c r="I25" s="9">
        <f>47.9+1221</f>
        <v>1268.9000000000001</v>
      </c>
      <c r="J25" s="8">
        <f>H25+I25</f>
        <v>23838.199999999997</v>
      </c>
      <c r="K25" s="8">
        <f t="shared" si="2"/>
        <v>41.92854196732528</v>
      </c>
    </row>
    <row r="26" spans="1:11" ht="59.25" customHeight="1">
      <c r="A26" s="28"/>
      <c r="B26" s="10" t="s">
        <v>78</v>
      </c>
      <c r="C26" s="1" t="s">
        <v>79</v>
      </c>
      <c r="D26" s="34"/>
      <c r="E26" s="25">
        <f>226203.977+28874.4+20933.5-1782.7+231.8</f>
        <v>274460.97699999996</v>
      </c>
      <c r="F26" s="9">
        <f>773.6+20000+10000+37552.5</f>
        <v>68326.100000000006</v>
      </c>
      <c r="G26" s="8">
        <f t="shared" ref="G26:G37" si="5">E26+F26</f>
        <v>342787.07699999993</v>
      </c>
      <c r="H26" s="9">
        <f>268.4+14163.8+29.2+309.2+2340.7+11141.3+3371.1+29909.2+11447.9+7692.8+3920.3+1400+1800+1039.9+6403.5+950+7426.9+6327.1+6895.4+2362.6+1028.1+6056.2+6467.3+2772.1+55+2973.2+5213.1+2706+2144+3174.1</f>
        <v>151788.40000000002</v>
      </c>
      <c r="I26" s="9">
        <f>773.6</f>
        <v>773.6</v>
      </c>
      <c r="J26" s="8">
        <f t="shared" ref="J26:J37" si="6">H26+I26</f>
        <v>152562.00000000003</v>
      </c>
      <c r="K26" s="8">
        <f t="shared" ref="K26:K37" si="7">J26/G26*100</f>
        <v>44.50634526108464</v>
      </c>
    </row>
    <row r="27" spans="1:11" ht="55.5" customHeight="1">
      <c r="A27" s="28"/>
      <c r="B27" s="10" t="s">
        <v>80</v>
      </c>
      <c r="C27" s="1" t="s">
        <v>81</v>
      </c>
      <c r="D27" s="34"/>
      <c r="E27" s="25">
        <v>19757</v>
      </c>
      <c r="F27" s="9">
        <f>10405.9</f>
        <v>10405.9</v>
      </c>
      <c r="G27" s="8">
        <f t="shared" si="5"/>
        <v>30162.9</v>
      </c>
      <c r="H27" s="9">
        <f>121.1+3.1+1180.8+626+77.2+3.2+1555.4+57+45.8+1+998.1+553.5+4.1+24.9+707.6+403.1+157.9+2.8+40.8+358.1+403.6+127.3</f>
        <v>7452.4000000000024</v>
      </c>
      <c r="I27" s="9">
        <v>10405.9</v>
      </c>
      <c r="J27" s="8">
        <f t="shared" si="6"/>
        <v>17858.300000000003</v>
      </c>
      <c r="K27" s="8">
        <f t="shared" si="7"/>
        <v>59.206177124878579</v>
      </c>
    </row>
    <row r="28" spans="1:11" ht="63.75" customHeight="1">
      <c r="A28" s="28"/>
      <c r="B28" s="10" t="s">
        <v>82</v>
      </c>
      <c r="C28" s="1" t="s">
        <v>83</v>
      </c>
      <c r="D28" s="34"/>
      <c r="E28" s="25">
        <f>60257.086+109.3+139.2</f>
        <v>60505.586000000003</v>
      </c>
      <c r="F28" s="9"/>
      <c r="G28" s="8">
        <f t="shared" si="5"/>
        <v>60505.586000000003</v>
      </c>
      <c r="H28" s="9">
        <f>19.3+11+5256.5+310.4+2434.75+81.2+1844.85-1060.35+1061.35+2514.7+1835.5+209.4+1394.5+1386+806.8+1242+1260+58.5+1320.8+1743.7+241+1642.6+1355.7</f>
        <v>26970.199999999997</v>
      </c>
      <c r="I28" s="9"/>
      <c r="J28" s="8">
        <f t="shared" si="6"/>
        <v>26970.199999999997</v>
      </c>
      <c r="K28" s="8">
        <f t="shared" si="7"/>
        <v>44.574727364841976</v>
      </c>
    </row>
    <row r="29" spans="1:11" ht="53.25" customHeight="1">
      <c r="A29" s="28"/>
      <c r="B29" s="10" t="s">
        <v>84</v>
      </c>
      <c r="C29" s="1" t="s">
        <v>85</v>
      </c>
      <c r="D29" s="34"/>
      <c r="E29" s="25">
        <f>54771.24+139</f>
        <v>54910.239999999998</v>
      </c>
      <c r="F29" s="9"/>
      <c r="G29" s="8">
        <f t="shared" si="5"/>
        <v>54910.239999999998</v>
      </c>
      <c r="H29" s="9">
        <f>169.3+5880.7+83.3+1930.8+562.5+2460.6+1899.8+131.3+2084.9+380.2+1981.6+2017.3+1829.6-164.4+2408+47+154.4+2014.5</f>
        <v>25871.399999999998</v>
      </c>
      <c r="I29" s="9"/>
      <c r="J29" s="8">
        <f t="shared" si="6"/>
        <v>25871.399999999998</v>
      </c>
      <c r="K29" s="8">
        <f t="shared" si="7"/>
        <v>47.115802079903489</v>
      </c>
    </row>
    <row r="30" spans="1:11" ht="53.25" customHeight="1">
      <c r="A30" s="28"/>
      <c r="B30" s="10" t="s">
        <v>86</v>
      </c>
      <c r="C30" s="1" t="s">
        <v>87</v>
      </c>
      <c r="D30" s="34"/>
      <c r="E30" s="25">
        <v>13038.492</v>
      </c>
      <c r="F30" s="9"/>
      <c r="G30" s="8">
        <f t="shared" si="5"/>
        <v>13038.492</v>
      </c>
      <c r="H30" s="9">
        <f>1+3.5+74.9+391.1+61.9+302.8+150+350+198.2+465.3+420+212+274.7+167.4+47.6+150+280.1+111+183.5+28.3+32.6</f>
        <v>3905.8999999999996</v>
      </c>
      <c r="I30" s="9"/>
      <c r="J30" s="8">
        <f t="shared" si="6"/>
        <v>3905.8999999999996</v>
      </c>
      <c r="K30" s="8">
        <f t="shared" si="7"/>
        <v>29.956685174942006</v>
      </c>
    </row>
    <row r="31" spans="1:11" ht="55.5" customHeight="1">
      <c r="A31" s="28"/>
      <c r="B31" s="10" t="s">
        <v>88</v>
      </c>
      <c r="C31" s="1" t="s">
        <v>89</v>
      </c>
      <c r="D31" s="34"/>
      <c r="E31" s="25">
        <f>9960.196+4064.3+3536.5+1932.6</f>
        <v>19493.595999999998</v>
      </c>
      <c r="F31" s="9"/>
      <c r="G31" s="8">
        <f t="shared" si="5"/>
        <v>19493.595999999998</v>
      </c>
      <c r="H31" s="9">
        <f>67+57+340.6+111.5+106.6+4076.8+132.5+624.6+2369.2+170.8+373.3+32.6+31.3+25.1+275+166.9+67.2+10+394+280.1+48.8+303.2</f>
        <v>10064.1</v>
      </c>
      <c r="I31" s="9"/>
      <c r="J31" s="8">
        <f t="shared" si="6"/>
        <v>10064.1</v>
      </c>
      <c r="K31" s="8">
        <f t="shared" si="7"/>
        <v>51.627724304946099</v>
      </c>
    </row>
    <row r="32" spans="1:11" ht="63.75" customHeight="1">
      <c r="A32" s="28"/>
      <c r="B32" s="10" t="s">
        <v>90</v>
      </c>
      <c r="C32" s="1" t="s">
        <v>91</v>
      </c>
      <c r="D32" s="34"/>
      <c r="E32" s="25">
        <f>48431.904+714.5-1800</f>
        <v>47346.404000000002</v>
      </c>
      <c r="F32" s="9">
        <v>1800</v>
      </c>
      <c r="G32" s="8">
        <f t="shared" si="5"/>
        <v>49146.404000000002</v>
      </c>
      <c r="H32" s="9">
        <f>244+1534.1+125+3741.1+2398.7+1828.2+152.2+256.2+1726.2+1650+133+1883.1+1735+300.4+1804.6+1868+252.1+2421.7</f>
        <v>24053.600000000002</v>
      </c>
      <c r="I32" s="9">
        <f>1799.8</f>
        <v>1799.8</v>
      </c>
      <c r="J32" s="8">
        <f t="shared" si="6"/>
        <v>25853.4</v>
      </c>
      <c r="K32" s="8">
        <f t="shared" si="7"/>
        <v>52.604866065073651</v>
      </c>
    </row>
    <row r="33" spans="1:11" ht="57.75" customHeight="1">
      <c r="A33" s="28"/>
      <c r="B33" s="10" t="s">
        <v>92</v>
      </c>
      <c r="C33" s="1" t="s">
        <v>93</v>
      </c>
      <c r="D33" s="34"/>
      <c r="E33" s="25">
        <f>81856.655+80.5+6210.5</f>
        <v>88147.654999999999</v>
      </c>
      <c r="F33" s="9">
        <f>199</f>
        <v>199</v>
      </c>
      <c r="G33" s="8">
        <f t="shared" si="5"/>
        <v>88346.654999999999</v>
      </c>
      <c r="H33" s="9">
        <f>1349+1944.2+1147.2+681.6+610+4546.5+1406.5+2825.1+3693.8+168.5+5150.3+2858.2+889.7+3652.7+566.7+4463.2+217.8+281.7+3724.3+391.8+3695.2+1036.6+173.3+2179.3+306.6+3766.1+3.3</f>
        <v>51729.200000000012</v>
      </c>
      <c r="I33" s="9">
        <f>199</f>
        <v>199</v>
      </c>
      <c r="J33" s="8">
        <f t="shared" si="6"/>
        <v>51928.200000000012</v>
      </c>
      <c r="K33" s="8">
        <f t="shared" si="7"/>
        <v>58.777777155230169</v>
      </c>
    </row>
    <row r="34" spans="1:11" ht="54" customHeight="1">
      <c r="A34" s="28"/>
      <c r="B34" s="10" t="s">
        <v>52</v>
      </c>
      <c r="C34" s="1" t="s">
        <v>94</v>
      </c>
      <c r="D34" s="34"/>
      <c r="E34" s="25">
        <f>161977+21384.2+17214.6-44279.6</f>
        <v>156296.20000000001</v>
      </c>
      <c r="F34" s="9">
        <f>129900+36513.6-30000-4672.6+1227.3-900-2175</f>
        <v>129893.29999999999</v>
      </c>
      <c r="G34" s="8">
        <f t="shared" si="5"/>
        <v>286189.5</v>
      </c>
      <c r="H34" s="9">
        <f>187.8+274.8+13.6+326.5+393.9+2456.3+1342.9+1547.7+169.4+2921.2+10.3+82.2+2221.4+2518.4+478.9+2414+2798.8+3084.8+1126.2+7357.8+4529.6+2251.8+6632.1+2210.6</f>
        <v>47350.999999999993</v>
      </c>
      <c r="I34" s="9">
        <f>751+6513.6+50+7095+995.1+1077.7+900+1087.3</f>
        <v>18469.7</v>
      </c>
      <c r="J34" s="8">
        <f t="shared" si="6"/>
        <v>65820.7</v>
      </c>
      <c r="K34" s="8">
        <f t="shared" si="7"/>
        <v>22.998991926677952</v>
      </c>
    </row>
    <row r="35" spans="1:11" ht="57.75" customHeight="1">
      <c r="A35" s="28"/>
      <c r="B35" s="10" t="s">
        <v>159</v>
      </c>
      <c r="C35" s="1" t="s">
        <v>53</v>
      </c>
      <c r="D35" s="34"/>
      <c r="E35" s="25">
        <v>970</v>
      </c>
      <c r="F35" s="9"/>
      <c r="G35" s="8">
        <f t="shared" si="5"/>
        <v>970</v>
      </c>
      <c r="H35" s="9">
        <f>215+108</f>
        <v>323</v>
      </c>
      <c r="I35" s="9"/>
      <c r="J35" s="8">
        <f t="shared" si="6"/>
        <v>323</v>
      </c>
      <c r="K35" s="8">
        <f t="shared" si="7"/>
        <v>33.298969072164944</v>
      </c>
    </row>
    <row r="36" spans="1:11" ht="57.75" customHeight="1">
      <c r="A36" s="1"/>
      <c r="B36" s="10" t="s">
        <v>202</v>
      </c>
      <c r="C36" s="1" t="s">
        <v>63</v>
      </c>
      <c r="D36" s="30"/>
      <c r="E36" s="25">
        <v>1200</v>
      </c>
      <c r="F36" s="9">
        <v>1800</v>
      </c>
      <c r="G36" s="8">
        <f t="shared" si="5"/>
        <v>3000</v>
      </c>
      <c r="H36" s="9">
        <v>1200</v>
      </c>
      <c r="I36" s="9">
        <v>1800</v>
      </c>
      <c r="J36" s="8">
        <f t="shared" si="6"/>
        <v>3000</v>
      </c>
      <c r="K36" s="8">
        <f t="shared" si="7"/>
        <v>100</v>
      </c>
    </row>
    <row r="37" spans="1:11" ht="57.75" customHeight="1">
      <c r="A37" s="1"/>
      <c r="B37" s="10" t="s">
        <v>128</v>
      </c>
      <c r="C37" s="1" t="s">
        <v>206</v>
      </c>
      <c r="D37" s="27" t="s">
        <v>146</v>
      </c>
      <c r="E37" s="25">
        <f>30.6</f>
        <v>30.6</v>
      </c>
      <c r="F37" s="9"/>
      <c r="G37" s="8">
        <f t="shared" si="5"/>
        <v>30.6</v>
      </c>
      <c r="H37" s="9"/>
      <c r="I37" s="9"/>
      <c r="J37" s="8">
        <f t="shared" si="6"/>
        <v>0</v>
      </c>
      <c r="K37" s="8">
        <f t="shared" si="7"/>
        <v>0</v>
      </c>
    </row>
    <row r="38" spans="1:11" ht="103.5" customHeight="1">
      <c r="A38" s="28">
        <v>6</v>
      </c>
      <c r="B38" s="10"/>
      <c r="C38" s="18" t="s">
        <v>95</v>
      </c>
      <c r="D38" s="13" t="s">
        <v>11</v>
      </c>
      <c r="E38" s="8">
        <f>SUM(E39:E42)</f>
        <v>64320.4</v>
      </c>
      <c r="F38" s="8">
        <f>SUM(F39:F42)</f>
        <v>0</v>
      </c>
      <c r="G38" s="8">
        <f>E38+F38</f>
        <v>64320.4</v>
      </c>
      <c r="H38" s="8">
        <f>SUM(H39:H42)</f>
        <v>18888.400000000001</v>
      </c>
      <c r="I38" s="8">
        <f>SUM(I39:I42)</f>
        <v>0</v>
      </c>
      <c r="J38" s="8">
        <f t="shared" ref="J38:J46" si="8">H38+I38</f>
        <v>18888.400000000001</v>
      </c>
      <c r="K38" s="8">
        <f t="shared" ref="K38:K53" si="9">J38/G38*100</f>
        <v>29.366110907270475</v>
      </c>
    </row>
    <row r="39" spans="1:11" ht="101.25" customHeight="1">
      <c r="A39" s="28"/>
      <c r="B39" s="10" t="s">
        <v>162</v>
      </c>
      <c r="C39" s="1" t="s">
        <v>163</v>
      </c>
      <c r="D39" s="28" t="s">
        <v>1</v>
      </c>
      <c r="E39" s="9">
        <v>15515</v>
      </c>
      <c r="F39" s="8"/>
      <c r="G39" s="8">
        <f t="shared" ref="G39:G47" si="10">E39+F39</f>
        <v>15515</v>
      </c>
      <c r="H39" s="9">
        <v>7197.3</v>
      </c>
      <c r="I39" s="8"/>
      <c r="J39" s="8">
        <f t="shared" si="8"/>
        <v>7197.3</v>
      </c>
      <c r="K39" s="8">
        <f t="shared" si="9"/>
        <v>46.389300676764421</v>
      </c>
    </row>
    <row r="40" spans="1:11" ht="66.75" customHeight="1">
      <c r="A40" s="28"/>
      <c r="B40" s="10" t="s">
        <v>37</v>
      </c>
      <c r="C40" s="1" t="s">
        <v>28</v>
      </c>
      <c r="D40" s="28"/>
      <c r="E40" s="9">
        <v>500</v>
      </c>
      <c r="F40" s="9"/>
      <c r="G40" s="8">
        <f t="shared" si="10"/>
        <v>500</v>
      </c>
      <c r="H40" s="9"/>
      <c r="I40" s="9"/>
      <c r="J40" s="8">
        <f t="shared" si="8"/>
        <v>0</v>
      </c>
      <c r="K40" s="8">
        <f t="shared" si="9"/>
        <v>0</v>
      </c>
    </row>
    <row r="41" spans="1:11" ht="59.25" customHeight="1">
      <c r="A41" s="28"/>
      <c r="B41" s="10" t="s">
        <v>39</v>
      </c>
      <c r="C41" s="1" t="s">
        <v>29</v>
      </c>
      <c r="D41" s="28"/>
      <c r="E41" s="9">
        <v>45305.4</v>
      </c>
      <c r="F41" s="9"/>
      <c r="G41" s="8">
        <f t="shared" si="10"/>
        <v>45305.4</v>
      </c>
      <c r="H41" s="9">
        <f>51+201+102.6+1200.4+914.3+5.4+2408.8+455+153.5+2275.9+1906.5+486.5+2.7+1527.5</f>
        <v>11691.1</v>
      </c>
      <c r="I41" s="9"/>
      <c r="J41" s="8">
        <f t="shared" si="8"/>
        <v>11691.1</v>
      </c>
      <c r="K41" s="8">
        <f t="shared" si="9"/>
        <v>25.805091666777031</v>
      </c>
    </row>
    <row r="42" spans="1:11" ht="70.5" customHeight="1">
      <c r="A42" s="28"/>
      <c r="B42" s="10" t="s">
        <v>38</v>
      </c>
      <c r="C42" s="1" t="s">
        <v>30</v>
      </c>
      <c r="D42" s="28"/>
      <c r="E42" s="9">
        <v>3000</v>
      </c>
      <c r="F42" s="9"/>
      <c r="G42" s="8">
        <f t="shared" si="10"/>
        <v>3000</v>
      </c>
      <c r="H42" s="9"/>
      <c r="I42" s="9"/>
      <c r="J42" s="8">
        <f t="shared" si="8"/>
        <v>0</v>
      </c>
      <c r="K42" s="8">
        <f t="shared" si="9"/>
        <v>0</v>
      </c>
    </row>
    <row r="43" spans="1:11" ht="136.5" customHeight="1">
      <c r="A43" s="28">
        <v>7</v>
      </c>
      <c r="B43" s="10"/>
      <c r="C43" s="18" t="s">
        <v>164</v>
      </c>
      <c r="D43" s="13" t="s">
        <v>11</v>
      </c>
      <c r="E43" s="8">
        <f>SUM(E44:E47)</f>
        <v>60511.06</v>
      </c>
      <c r="F43" s="8">
        <f>SUM(F44:F47)</f>
        <v>4000</v>
      </c>
      <c r="G43" s="8">
        <f t="shared" si="10"/>
        <v>64511.06</v>
      </c>
      <c r="H43" s="8">
        <f>SUM(H44:H47)</f>
        <v>31268.16</v>
      </c>
      <c r="I43" s="8">
        <f>SUM(I44:I47)</f>
        <v>0</v>
      </c>
      <c r="J43" s="8">
        <f t="shared" si="8"/>
        <v>31268.16</v>
      </c>
      <c r="K43" s="8">
        <f t="shared" si="9"/>
        <v>48.469456245177184</v>
      </c>
    </row>
    <row r="44" spans="1:11" ht="63" customHeight="1">
      <c r="A44" s="28"/>
      <c r="B44" s="10" t="s">
        <v>39</v>
      </c>
      <c r="C44" s="1" t="s">
        <v>29</v>
      </c>
      <c r="D44" s="29" t="s">
        <v>1</v>
      </c>
      <c r="E44" s="9">
        <v>55224.06</v>
      </c>
      <c r="F44" s="9"/>
      <c r="G44" s="8">
        <f t="shared" si="10"/>
        <v>55224.06</v>
      </c>
      <c r="H44" s="9">
        <f>4346.5+1114.5+490.6+835.8+314.5+744+9233.4+302.5+2722.4+5003.5+722.3+270.4+1170+579.6+1623.1</f>
        <v>29473.1</v>
      </c>
      <c r="I44" s="9"/>
      <c r="J44" s="8">
        <f t="shared" si="8"/>
        <v>29473.1</v>
      </c>
      <c r="K44" s="8">
        <f t="shared" si="9"/>
        <v>53.370034727616911</v>
      </c>
    </row>
    <row r="45" spans="1:11" ht="62.25" customHeight="1">
      <c r="A45" s="28"/>
      <c r="B45" s="10" t="s">
        <v>38</v>
      </c>
      <c r="C45" s="1" t="s">
        <v>53</v>
      </c>
      <c r="D45" s="34"/>
      <c r="E45" s="9">
        <v>287</v>
      </c>
      <c r="F45" s="9"/>
      <c r="G45" s="8">
        <f t="shared" si="10"/>
        <v>287</v>
      </c>
      <c r="H45" s="9">
        <f>2+1.4+16.5+8.5+36.1+3.2+2.4+9.04+4.2+1.5+5.62+0.6+0.4+3.4</f>
        <v>94.860000000000028</v>
      </c>
      <c r="I45" s="9"/>
      <c r="J45" s="8">
        <f t="shared" si="8"/>
        <v>94.860000000000028</v>
      </c>
      <c r="K45" s="8">
        <f t="shared" si="9"/>
        <v>33.052264808362381</v>
      </c>
    </row>
    <row r="46" spans="1:11" ht="55.5" customHeight="1">
      <c r="A46" s="28"/>
      <c r="B46" s="10" t="s">
        <v>38</v>
      </c>
      <c r="C46" s="1" t="s">
        <v>208</v>
      </c>
      <c r="D46" s="30"/>
      <c r="E46" s="9">
        <v>5000</v>
      </c>
      <c r="F46" s="9"/>
      <c r="G46" s="8">
        <f t="shared" si="10"/>
        <v>5000</v>
      </c>
      <c r="H46" s="9">
        <f>438.4+914.6+347.2</f>
        <v>1700.2</v>
      </c>
      <c r="I46" s="9"/>
      <c r="J46" s="8">
        <f t="shared" si="8"/>
        <v>1700.2</v>
      </c>
      <c r="K46" s="8">
        <f t="shared" si="9"/>
        <v>34.003999999999998</v>
      </c>
    </row>
    <row r="47" spans="1:11" ht="67.5" customHeight="1">
      <c r="A47" s="28"/>
      <c r="B47" s="10" t="s">
        <v>143</v>
      </c>
      <c r="C47" s="1" t="s">
        <v>144</v>
      </c>
      <c r="D47" s="1" t="s">
        <v>146</v>
      </c>
      <c r="E47" s="9"/>
      <c r="F47" s="9">
        <v>4000</v>
      </c>
      <c r="G47" s="8">
        <f t="shared" si="10"/>
        <v>4000</v>
      </c>
      <c r="H47" s="9"/>
      <c r="I47" s="9"/>
      <c r="J47" s="8">
        <f>H47+I47</f>
        <v>0</v>
      </c>
      <c r="K47" s="8">
        <f t="shared" si="9"/>
        <v>0</v>
      </c>
    </row>
    <row r="48" spans="1:11" ht="126.75" customHeight="1">
      <c r="A48" s="28">
        <v>8</v>
      </c>
      <c r="B48" s="10"/>
      <c r="C48" s="18" t="s">
        <v>96</v>
      </c>
      <c r="D48" s="13" t="s">
        <v>11</v>
      </c>
      <c r="E48" s="8">
        <f>SUM(E49)</f>
        <v>0</v>
      </c>
      <c r="F48" s="8">
        <f>SUM(F49)</f>
        <v>9000</v>
      </c>
      <c r="G48" s="8">
        <f>SUM(E48+F48)</f>
        <v>9000</v>
      </c>
      <c r="H48" s="8">
        <f>SUM(H49)</f>
        <v>2093.5</v>
      </c>
      <c r="I48" s="8">
        <f>SUM(I49)</f>
        <v>0</v>
      </c>
      <c r="J48" s="8">
        <f>SUM(H48+I48)</f>
        <v>2093.5</v>
      </c>
      <c r="K48" s="8">
        <f t="shared" si="9"/>
        <v>23.261111111111109</v>
      </c>
    </row>
    <row r="49" spans="1:11" ht="57.75" customHeight="1">
      <c r="A49" s="28"/>
      <c r="B49" s="10" t="s">
        <v>54</v>
      </c>
      <c r="C49" s="1" t="s">
        <v>30</v>
      </c>
      <c r="D49" s="1" t="s">
        <v>10</v>
      </c>
      <c r="E49" s="9"/>
      <c r="F49" s="9">
        <v>9000</v>
      </c>
      <c r="G49" s="8">
        <f>SUM(E49+F49)</f>
        <v>9000</v>
      </c>
      <c r="H49" s="9">
        <v>2093.5</v>
      </c>
      <c r="I49" s="9"/>
      <c r="J49" s="8">
        <f>SUM(H49+I49)</f>
        <v>2093.5</v>
      </c>
      <c r="K49" s="8">
        <f t="shared" si="9"/>
        <v>23.261111111111109</v>
      </c>
    </row>
    <row r="50" spans="1:11" ht="78.75" customHeight="1">
      <c r="A50" s="28">
        <v>9</v>
      </c>
      <c r="B50" s="10"/>
      <c r="C50" s="18" t="s">
        <v>97</v>
      </c>
      <c r="D50" s="13" t="s">
        <v>11</v>
      </c>
      <c r="E50" s="8">
        <f>SUM(E51:E52)</f>
        <v>9985.6</v>
      </c>
      <c r="F50" s="8">
        <f>SUM(F51:F52)</f>
        <v>4999.3999999999996</v>
      </c>
      <c r="G50" s="8">
        <f>E50+F50</f>
        <v>14985</v>
      </c>
      <c r="H50" s="8">
        <f>SUM(H51:H52)</f>
        <v>2799.8999999999996</v>
      </c>
      <c r="I50" s="8">
        <f>SUM(I51:I52)</f>
        <v>3277.6</v>
      </c>
      <c r="J50" s="8">
        <f>H50+I50</f>
        <v>6077.5</v>
      </c>
      <c r="K50" s="8">
        <f t="shared" si="9"/>
        <v>40.557223890557225</v>
      </c>
    </row>
    <row r="51" spans="1:11" ht="69" customHeight="1">
      <c r="A51" s="28"/>
      <c r="B51" s="10" t="s">
        <v>40</v>
      </c>
      <c r="C51" s="1" t="s">
        <v>46</v>
      </c>
      <c r="D51" s="29" t="s">
        <v>16</v>
      </c>
      <c r="E51" s="9">
        <f>10000+285-365+365-178.9-120.5</f>
        <v>9985.6</v>
      </c>
      <c r="F51" s="9">
        <f>4700-2400+178.9+120.5</f>
        <v>2599.4</v>
      </c>
      <c r="G51" s="8">
        <f>E51+F51</f>
        <v>12585</v>
      </c>
      <c r="H51" s="9">
        <f>830.9+72+14+98.8+50+176.3+525+83+50+288.8+120+182+254.1+55</f>
        <v>2799.8999999999996</v>
      </c>
      <c r="I51" s="9">
        <f>588.9+288.7</f>
        <v>877.59999999999991</v>
      </c>
      <c r="J51" s="8">
        <f>H51+I51</f>
        <v>3677.4999999999995</v>
      </c>
      <c r="K51" s="8">
        <f t="shared" si="9"/>
        <v>29.221295192689706</v>
      </c>
    </row>
    <row r="52" spans="1:11" ht="59.25" customHeight="1">
      <c r="A52" s="28"/>
      <c r="B52" s="10" t="s">
        <v>203</v>
      </c>
      <c r="C52" s="1" t="s">
        <v>53</v>
      </c>
      <c r="D52" s="30"/>
      <c r="E52" s="9">
        <f>365-365</f>
        <v>0</v>
      </c>
      <c r="F52" s="9">
        <f>2400</f>
        <v>2400</v>
      </c>
      <c r="G52" s="8">
        <f>E52+F52</f>
        <v>2400</v>
      </c>
      <c r="H52" s="9"/>
      <c r="I52" s="9">
        <v>2400</v>
      </c>
      <c r="J52" s="8">
        <f>H52+I52</f>
        <v>2400</v>
      </c>
      <c r="K52" s="8">
        <f t="shared" si="9"/>
        <v>100</v>
      </c>
    </row>
    <row r="53" spans="1:11" ht="89.25" customHeight="1">
      <c r="A53" s="28">
        <v>10</v>
      </c>
      <c r="B53" s="10"/>
      <c r="C53" s="18" t="s">
        <v>188</v>
      </c>
      <c r="D53" s="13" t="s">
        <v>11</v>
      </c>
      <c r="E53" s="8">
        <f>SUM(E54:E65)</f>
        <v>21489.5</v>
      </c>
      <c r="F53" s="8">
        <f>SUM(F54:F65)</f>
        <v>44500</v>
      </c>
      <c r="G53" s="8">
        <f>E53+F53</f>
        <v>65989.5</v>
      </c>
      <c r="H53" s="8">
        <f>SUM(H54:H65)</f>
        <v>3794.2999999999993</v>
      </c>
      <c r="I53" s="8">
        <f>SUM(I54:I65)</f>
        <v>0</v>
      </c>
      <c r="J53" s="8">
        <f>H53+I53</f>
        <v>3794.2999999999993</v>
      </c>
      <c r="K53" s="8">
        <f t="shared" si="9"/>
        <v>5.7498541434622163</v>
      </c>
    </row>
    <row r="54" spans="1:11" ht="60" customHeight="1">
      <c r="A54" s="28"/>
      <c r="B54" s="10" t="s">
        <v>98</v>
      </c>
      <c r="C54" s="1" t="s">
        <v>99</v>
      </c>
      <c r="D54" s="28" t="s">
        <v>100</v>
      </c>
      <c r="E54" s="9">
        <f>4200-2000</f>
        <v>2200</v>
      </c>
      <c r="F54" s="9">
        <v>1500</v>
      </c>
      <c r="G54" s="8">
        <f>E54+F54</f>
        <v>3700</v>
      </c>
      <c r="H54" s="9">
        <f>193.5+21+51.3+70.2+12.5</f>
        <v>348.5</v>
      </c>
      <c r="I54" s="9"/>
      <c r="J54" s="8">
        <f t="shared" ref="J54:J65" si="11">H54+I54</f>
        <v>348.5</v>
      </c>
      <c r="K54" s="8">
        <f t="shared" ref="K54:K65" si="12">J54/G54*100</f>
        <v>9.4189189189189193</v>
      </c>
    </row>
    <row r="55" spans="1:11" ht="62.25" customHeight="1">
      <c r="A55" s="28"/>
      <c r="B55" s="10" t="s">
        <v>101</v>
      </c>
      <c r="C55" s="1" t="s">
        <v>102</v>
      </c>
      <c r="D55" s="28"/>
      <c r="E55" s="9">
        <f>3100-728.9</f>
        <v>2371.1</v>
      </c>
      <c r="F55" s="9">
        <v>1000</v>
      </c>
      <c r="G55" s="8">
        <f t="shared" ref="G55:G65" si="13">E55+F55</f>
        <v>3371.1</v>
      </c>
      <c r="H55" s="9">
        <f>17.4+63.7+99.5+25.9+62.3</f>
        <v>268.8</v>
      </c>
      <c r="I55" s="9"/>
      <c r="J55" s="8">
        <f t="shared" si="11"/>
        <v>268.8</v>
      </c>
      <c r="K55" s="8">
        <f t="shared" si="12"/>
        <v>7.973658449764172</v>
      </c>
    </row>
    <row r="56" spans="1:11" ht="63.75" customHeight="1">
      <c r="A56" s="28"/>
      <c r="B56" s="10" t="s">
        <v>103</v>
      </c>
      <c r="C56" s="1" t="s">
        <v>104</v>
      </c>
      <c r="D56" s="28"/>
      <c r="E56" s="9">
        <f>266.2+81.78</f>
        <v>347.98</v>
      </c>
      <c r="F56" s="9"/>
      <c r="G56" s="8">
        <f t="shared" si="13"/>
        <v>347.98</v>
      </c>
      <c r="H56" s="9">
        <f>5+27.5+4.2+27.3+35+14.8</f>
        <v>113.8</v>
      </c>
      <c r="I56" s="9"/>
      <c r="J56" s="8">
        <f t="shared" si="11"/>
        <v>113.8</v>
      </c>
      <c r="K56" s="8">
        <f t="shared" si="12"/>
        <v>32.703028909707456</v>
      </c>
    </row>
    <row r="57" spans="1:11" ht="91.5" customHeight="1">
      <c r="A57" s="28"/>
      <c r="B57" s="10" t="s">
        <v>41</v>
      </c>
      <c r="C57" s="1" t="s">
        <v>105</v>
      </c>
      <c r="D57" s="28"/>
      <c r="E57" s="9">
        <v>474</v>
      </c>
      <c r="F57" s="9"/>
      <c r="G57" s="8">
        <f t="shared" si="13"/>
        <v>474</v>
      </c>
      <c r="H57" s="9">
        <f>22.2+21.8+6+3.2+4.7+5.9+21.7+15+17.4+7.4+26+2.1+15.4</f>
        <v>168.8</v>
      </c>
      <c r="I57" s="9"/>
      <c r="J57" s="8">
        <f t="shared" si="11"/>
        <v>168.8</v>
      </c>
      <c r="K57" s="8">
        <f>J57/G57*100</f>
        <v>35.611814345991569</v>
      </c>
    </row>
    <row r="58" spans="1:11" ht="72.75" customHeight="1">
      <c r="A58" s="28"/>
      <c r="B58" s="10" t="s">
        <v>106</v>
      </c>
      <c r="C58" s="1" t="s">
        <v>107</v>
      </c>
      <c r="D58" s="28"/>
      <c r="E58" s="9">
        <v>649.29999999999995</v>
      </c>
      <c r="F58" s="9"/>
      <c r="G58" s="8">
        <f t="shared" si="13"/>
        <v>649.29999999999995</v>
      </c>
      <c r="H58" s="9">
        <f>5.8+2.8+50.8+18.6+7.9+26.9+22+3+27</f>
        <v>164.8</v>
      </c>
      <c r="I58" s="9"/>
      <c r="J58" s="8">
        <f t="shared" si="11"/>
        <v>164.8</v>
      </c>
      <c r="K58" s="8">
        <f t="shared" si="12"/>
        <v>25.381179732019099</v>
      </c>
    </row>
    <row r="59" spans="1:11" ht="60" customHeight="1">
      <c r="A59" s="28"/>
      <c r="B59" s="10" t="s">
        <v>189</v>
      </c>
      <c r="C59" s="1" t="s">
        <v>192</v>
      </c>
      <c r="D59" s="28"/>
      <c r="E59" s="9">
        <f>856.7</f>
        <v>856.7</v>
      </c>
      <c r="F59" s="9"/>
      <c r="G59" s="8">
        <f t="shared" si="13"/>
        <v>856.7</v>
      </c>
      <c r="H59" s="9">
        <f>87+194.3</f>
        <v>281.3</v>
      </c>
      <c r="I59" s="9"/>
      <c r="J59" s="8">
        <f t="shared" si="11"/>
        <v>281.3</v>
      </c>
      <c r="K59" s="8">
        <f t="shared" si="12"/>
        <v>32.83529823742267</v>
      </c>
    </row>
    <row r="60" spans="1:11" ht="57.75" customHeight="1">
      <c r="A60" s="28"/>
      <c r="B60" s="10" t="s">
        <v>190</v>
      </c>
      <c r="C60" s="1" t="s">
        <v>193</v>
      </c>
      <c r="D60" s="28"/>
      <c r="E60" s="9">
        <f>1689.5</f>
        <v>1689.5</v>
      </c>
      <c r="F60" s="9"/>
      <c r="G60" s="8">
        <f t="shared" si="13"/>
        <v>1689.5</v>
      </c>
      <c r="H60" s="9">
        <f>946.6+51.4+309.9</f>
        <v>1307.9000000000001</v>
      </c>
      <c r="I60" s="9"/>
      <c r="J60" s="8">
        <f t="shared" si="11"/>
        <v>1307.9000000000001</v>
      </c>
      <c r="K60" s="8">
        <f t="shared" si="12"/>
        <v>77.413435927789294</v>
      </c>
    </row>
    <row r="61" spans="1:11" ht="50.25" customHeight="1">
      <c r="A61" s="28"/>
      <c r="B61" s="10" t="s">
        <v>191</v>
      </c>
      <c r="C61" s="1" t="s">
        <v>194</v>
      </c>
      <c r="D61" s="28"/>
      <c r="E61" s="9">
        <f>81.2</f>
        <v>81.2</v>
      </c>
      <c r="F61" s="9"/>
      <c r="G61" s="8">
        <f t="shared" si="13"/>
        <v>81.2</v>
      </c>
      <c r="H61" s="9">
        <f>40.6+40.6</f>
        <v>81.2</v>
      </c>
      <c r="I61" s="9"/>
      <c r="J61" s="8">
        <f t="shared" si="11"/>
        <v>81.2</v>
      </c>
      <c r="K61" s="8">
        <f t="shared" si="12"/>
        <v>100</v>
      </c>
    </row>
    <row r="62" spans="1:11" ht="58.5" customHeight="1">
      <c r="A62" s="28"/>
      <c r="B62" s="10" t="s">
        <v>204</v>
      </c>
      <c r="C62" s="1" t="s">
        <v>63</v>
      </c>
      <c r="D62" s="28"/>
      <c r="E62" s="9">
        <v>3000</v>
      </c>
      <c r="F62" s="9"/>
      <c r="G62" s="8">
        <f t="shared" si="13"/>
        <v>3000</v>
      </c>
      <c r="H62" s="9"/>
      <c r="I62" s="9"/>
      <c r="J62" s="8">
        <f t="shared" si="11"/>
        <v>0</v>
      </c>
      <c r="K62" s="8">
        <f t="shared" si="12"/>
        <v>0</v>
      </c>
    </row>
    <row r="63" spans="1:11" ht="56.25" customHeight="1">
      <c r="A63" s="28"/>
      <c r="B63" s="10" t="s">
        <v>198</v>
      </c>
      <c r="C63" s="22" t="s">
        <v>30</v>
      </c>
      <c r="D63" s="28"/>
      <c r="E63" s="9"/>
      <c r="F63" s="9">
        <f>3000+27000+11100</f>
        <v>41100</v>
      </c>
      <c r="G63" s="8">
        <f t="shared" si="13"/>
        <v>41100</v>
      </c>
      <c r="H63" s="9"/>
      <c r="I63" s="9"/>
      <c r="J63" s="8">
        <f t="shared" si="11"/>
        <v>0</v>
      </c>
      <c r="K63" s="8">
        <f t="shared" si="12"/>
        <v>0</v>
      </c>
    </row>
    <row r="64" spans="1:11" ht="63" customHeight="1">
      <c r="A64" s="28"/>
      <c r="B64" s="10" t="s">
        <v>42</v>
      </c>
      <c r="C64" s="1" t="s">
        <v>31</v>
      </c>
      <c r="D64" s="28"/>
      <c r="E64" s="9">
        <f>9800+19.72</f>
        <v>9819.7199999999993</v>
      </c>
      <c r="F64" s="9"/>
      <c r="G64" s="8">
        <f t="shared" si="13"/>
        <v>9819.7199999999993</v>
      </c>
      <c r="H64" s="9">
        <f>12.8-12.8+12.8+7+726.7+312.7</f>
        <v>1059.2</v>
      </c>
      <c r="I64" s="9"/>
      <c r="J64" s="8">
        <f t="shared" si="11"/>
        <v>1059.2</v>
      </c>
      <c r="K64" s="8">
        <f t="shared" si="12"/>
        <v>10.786458269685898</v>
      </c>
    </row>
    <row r="65" spans="1:11" ht="66.75" customHeight="1">
      <c r="A65" s="1"/>
      <c r="B65" s="10" t="s">
        <v>52</v>
      </c>
      <c r="C65" s="1" t="s">
        <v>94</v>
      </c>
      <c r="D65" s="1" t="s">
        <v>9</v>
      </c>
      <c r="E65" s="9"/>
      <c r="F65" s="9">
        <f>900</f>
        <v>900</v>
      </c>
      <c r="G65" s="8">
        <f t="shared" si="13"/>
        <v>900</v>
      </c>
      <c r="H65" s="9"/>
      <c r="I65" s="9"/>
      <c r="J65" s="8">
        <f t="shared" si="11"/>
        <v>0</v>
      </c>
      <c r="K65" s="8">
        <f t="shared" si="12"/>
        <v>0</v>
      </c>
    </row>
    <row r="66" spans="1:11" ht="84" customHeight="1">
      <c r="A66" s="28">
        <v>11</v>
      </c>
      <c r="B66" s="1"/>
      <c r="C66" s="18" t="s">
        <v>108</v>
      </c>
      <c r="D66" s="13" t="s">
        <v>11</v>
      </c>
      <c r="E66" s="8">
        <f>SUM(E67)</f>
        <v>2328.8000000000002</v>
      </c>
      <c r="F66" s="8">
        <f>SUM(F67)</f>
        <v>0</v>
      </c>
      <c r="G66" s="8">
        <f>E66+F66</f>
        <v>2328.8000000000002</v>
      </c>
      <c r="H66" s="8">
        <f>SUM(H67)</f>
        <v>1128.8</v>
      </c>
      <c r="I66" s="8">
        <f>SUM(I67)</f>
        <v>0</v>
      </c>
      <c r="J66" s="8">
        <f t="shared" ref="J66:J86" si="14">H66+I66</f>
        <v>1128.8</v>
      </c>
      <c r="K66" s="8">
        <f t="shared" ref="K66:K75" si="15">J66/G66*100</f>
        <v>48.471315699072477</v>
      </c>
    </row>
    <row r="67" spans="1:11" ht="61.5" customHeight="1">
      <c r="A67" s="28"/>
      <c r="B67" s="10" t="s">
        <v>109</v>
      </c>
      <c r="C67" s="1" t="s">
        <v>110</v>
      </c>
      <c r="D67" s="1" t="s">
        <v>100</v>
      </c>
      <c r="E67" s="9">
        <v>2328.8000000000002</v>
      </c>
      <c r="F67" s="9"/>
      <c r="G67" s="8">
        <f t="shared" ref="G67:G79" si="16">E67+F67</f>
        <v>2328.8000000000002</v>
      </c>
      <c r="H67" s="9">
        <f>173.7+23.3+210+74.5+1.7+22+87+11.6+140.7+61.7+14.9+307.7</f>
        <v>1128.8</v>
      </c>
      <c r="I67" s="9"/>
      <c r="J67" s="8">
        <f t="shared" si="14"/>
        <v>1128.8</v>
      </c>
      <c r="K67" s="8">
        <f t="shared" si="15"/>
        <v>48.471315699072477</v>
      </c>
    </row>
    <row r="68" spans="1:11" ht="101.25" customHeight="1">
      <c r="A68" s="28">
        <v>12</v>
      </c>
      <c r="B68" s="10"/>
      <c r="C68" s="19" t="s">
        <v>160</v>
      </c>
      <c r="D68" s="13" t="s">
        <v>11</v>
      </c>
      <c r="E68" s="8">
        <f>SUM(E69:E70)</f>
        <v>50</v>
      </c>
      <c r="F68" s="8">
        <f>SUM(F69:F70)</f>
        <v>100</v>
      </c>
      <c r="G68" s="8">
        <f t="shared" si="16"/>
        <v>150</v>
      </c>
      <c r="H68" s="8">
        <f>SUM(H69:H70)</f>
        <v>0</v>
      </c>
      <c r="I68" s="8">
        <f>SUM(I69:I70)</f>
        <v>0</v>
      </c>
      <c r="J68" s="8">
        <f t="shared" ref="J68:J76" si="17">H68+I68</f>
        <v>0</v>
      </c>
      <c r="K68" s="8">
        <f>J68/G68*100</f>
        <v>0</v>
      </c>
    </row>
    <row r="69" spans="1:11" ht="94.5" customHeight="1">
      <c r="A69" s="28"/>
      <c r="B69" s="10" t="s">
        <v>161</v>
      </c>
      <c r="C69" s="26" t="s">
        <v>70</v>
      </c>
      <c r="D69" s="1" t="s">
        <v>210</v>
      </c>
      <c r="E69" s="9">
        <v>50</v>
      </c>
      <c r="F69" s="9"/>
      <c r="G69" s="8">
        <f t="shared" si="16"/>
        <v>50</v>
      </c>
      <c r="H69" s="8"/>
      <c r="I69" s="8"/>
      <c r="J69" s="8">
        <f t="shared" si="17"/>
        <v>0</v>
      </c>
      <c r="K69" s="8">
        <f t="shared" si="15"/>
        <v>0</v>
      </c>
    </row>
    <row r="70" spans="1:11" ht="50.25" customHeight="1">
      <c r="A70" s="28"/>
      <c r="B70" s="20" t="s">
        <v>128</v>
      </c>
      <c r="C70" s="26" t="s">
        <v>70</v>
      </c>
      <c r="D70" s="1" t="s">
        <v>9</v>
      </c>
      <c r="E70" s="9"/>
      <c r="F70" s="9">
        <v>100</v>
      </c>
      <c r="G70" s="8">
        <f t="shared" si="16"/>
        <v>100</v>
      </c>
      <c r="H70" s="9"/>
      <c r="I70" s="9"/>
      <c r="J70" s="8">
        <f t="shared" si="17"/>
        <v>0</v>
      </c>
      <c r="K70" s="8">
        <f t="shared" si="15"/>
        <v>0</v>
      </c>
    </row>
    <row r="71" spans="1:11" ht="94.5" customHeight="1">
      <c r="A71" s="28">
        <v>13</v>
      </c>
      <c r="B71" s="10"/>
      <c r="C71" s="18" t="s">
        <v>124</v>
      </c>
      <c r="D71" s="13" t="s">
        <v>11</v>
      </c>
      <c r="E71" s="8">
        <f>SUM(E72:E75)</f>
        <v>4050</v>
      </c>
      <c r="F71" s="8">
        <f>SUM(F72:F75)</f>
        <v>62500</v>
      </c>
      <c r="G71" s="8">
        <f t="shared" si="16"/>
        <v>66550</v>
      </c>
      <c r="H71" s="8">
        <f>SUM(H72:H75)</f>
        <v>1544.18</v>
      </c>
      <c r="I71" s="8">
        <f>SUM(I72:I75)</f>
        <v>25125.799999999996</v>
      </c>
      <c r="J71" s="8">
        <f>H71+I71</f>
        <v>26669.979999999996</v>
      </c>
      <c r="K71" s="8">
        <f>J71/G71*100</f>
        <v>40.075101427498119</v>
      </c>
    </row>
    <row r="72" spans="1:11" ht="52.5" customHeight="1">
      <c r="A72" s="28"/>
      <c r="B72" s="10" t="s">
        <v>166</v>
      </c>
      <c r="C72" s="1" t="s">
        <v>53</v>
      </c>
      <c r="D72" s="29" t="s">
        <v>210</v>
      </c>
      <c r="E72" s="8"/>
      <c r="F72" s="9">
        <f>30000-10000</f>
        <v>20000</v>
      </c>
      <c r="G72" s="8">
        <f t="shared" si="16"/>
        <v>20000</v>
      </c>
      <c r="H72" s="8"/>
      <c r="I72" s="8"/>
      <c r="J72" s="8">
        <f t="shared" si="17"/>
        <v>0</v>
      </c>
      <c r="K72" s="8">
        <f t="shared" si="15"/>
        <v>0</v>
      </c>
    </row>
    <row r="73" spans="1:11" ht="60.75" customHeight="1">
      <c r="A73" s="28"/>
      <c r="B73" s="10" t="s">
        <v>43</v>
      </c>
      <c r="C73" s="1" t="s">
        <v>55</v>
      </c>
      <c r="D73" s="30"/>
      <c r="E73" s="9">
        <f>6550-2500</f>
        <v>4050</v>
      </c>
      <c r="F73" s="9">
        <f>30000-20000-10000</f>
        <v>0</v>
      </c>
      <c r="G73" s="8">
        <f t="shared" si="16"/>
        <v>4050</v>
      </c>
      <c r="H73" s="9">
        <f>180.8+253.7+35.4+33.8+254.7+17.3+85.54+62.14+49.9+319.8+47.9+203.2</f>
        <v>1544.18</v>
      </c>
      <c r="I73" s="9"/>
      <c r="J73" s="8">
        <f t="shared" si="17"/>
        <v>1544.18</v>
      </c>
      <c r="K73" s="8">
        <f t="shared" si="15"/>
        <v>38.127901234567901</v>
      </c>
    </row>
    <row r="74" spans="1:11" ht="60.75" customHeight="1">
      <c r="A74" s="28"/>
      <c r="B74" s="10" t="s">
        <v>209</v>
      </c>
      <c r="C74" s="1" t="s">
        <v>55</v>
      </c>
      <c r="D74" s="27" t="s">
        <v>100</v>
      </c>
      <c r="E74" s="9"/>
      <c r="F74" s="9">
        <f>10100</f>
        <v>10100</v>
      </c>
      <c r="G74" s="8">
        <f t="shared" si="16"/>
        <v>10100</v>
      </c>
      <c r="H74" s="9"/>
      <c r="I74" s="9"/>
      <c r="J74" s="8">
        <f t="shared" si="17"/>
        <v>0</v>
      </c>
      <c r="K74" s="8">
        <f t="shared" si="15"/>
        <v>0</v>
      </c>
    </row>
    <row r="75" spans="1:11" ht="57" customHeight="1">
      <c r="A75" s="28"/>
      <c r="B75" s="10" t="s">
        <v>177</v>
      </c>
      <c r="C75" s="1" t="s">
        <v>55</v>
      </c>
      <c r="D75" s="1" t="s">
        <v>9</v>
      </c>
      <c r="E75" s="9"/>
      <c r="F75" s="9">
        <f>30000+12500-10100</f>
        <v>32400</v>
      </c>
      <c r="G75" s="8">
        <f t="shared" si="16"/>
        <v>32400</v>
      </c>
      <c r="H75" s="9"/>
      <c r="I75" s="9">
        <f>4000+2000-0.8+6057.9+12269.8+488.3+310.6</f>
        <v>25125.799999999996</v>
      </c>
      <c r="J75" s="8">
        <f t="shared" si="17"/>
        <v>25125.799999999996</v>
      </c>
      <c r="K75" s="8">
        <f t="shared" si="15"/>
        <v>77.548765432098747</v>
      </c>
    </row>
    <row r="76" spans="1:11" ht="104.25" customHeight="1">
      <c r="A76" s="28">
        <v>14</v>
      </c>
      <c r="B76" s="10"/>
      <c r="C76" s="18" t="s">
        <v>123</v>
      </c>
      <c r="D76" s="13" t="s">
        <v>11</v>
      </c>
      <c r="E76" s="8">
        <f>SUM(E77:E79)</f>
        <v>1200</v>
      </c>
      <c r="F76" s="8">
        <f>SUM(F77:F79)</f>
        <v>23250</v>
      </c>
      <c r="G76" s="8">
        <f t="shared" si="16"/>
        <v>24450</v>
      </c>
      <c r="H76" s="8">
        <f>SUM(H77:H79)</f>
        <v>0</v>
      </c>
      <c r="I76" s="8">
        <f>SUM(I77:I79)</f>
        <v>1689.1</v>
      </c>
      <c r="J76" s="8">
        <f t="shared" si="17"/>
        <v>1689.1</v>
      </c>
      <c r="K76" s="8">
        <f t="shared" ref="K76:K83" si="18">J76/G76*100</f>
        <v>6.9083844580777098</v>
      </c>
    </row>
    <row r="77" spans="1:11" ht="47.25" customHeight="1">
      <c r="A77" s="28"/>
      <c r="B77" s="10">
        <v>1617340</v>
      </c>
      <c r="C77" s="1" t="s">
        <v>32</v>
      </c>
      <c r="D77" s="28" t="s">
        <v>17</v>
      </c>
      <c r="E77" s="9">
        <f>450+200</f>
        <v>650</v>
      </c>
      <c r="F77" s="9">
        <f>23450-4392</f>
        <v>19058</v>
      </c>
      <c r="G77" s="8">
        <f t="shared" si="16"/>
        <v>19708</v>
      </c>
      <c r="H77" s="9"/>
      <c r="I77" s="9">
        <f>518.9+3.3+955.9+19</f>
        <v>1497.1</v>
      </c>
      <c r="J77" s="8">
        <f t="shared" si="14"/>
        <v>1497.1</v>
      </c>
      <c r="K77" s="8">
        <f t="shared" si="18"/>
        <v>7.5964075502334065</v>
      </c>
    </row>
    <row r="78" spans="1:11" ht="55.5" customHeight="1">
      <c r="A78" s="28"/>
      <c r="B78" s="10" t="s">
        <v>207</v>
      </c>
      <c r="C78" s="23" t="s">
        <v>184</v>
      </c>
      <c r="D78" s="28"/>
      <c r="E78" s="9"/>
      <c r="F78" s="9">
        <f>4192</f>
        <v>4192</v>
      </c>
      <c r="G78" s="8">
        <f t="shared" si="16"/>
        <v>4192</v>
      </c>
      <c r="H78" s="9"/>
      <c r="I78" s="9">
        <f>192</f>
        <v>192</v>
      </c>
      <c r="J78" s="8">
        <f t="shared" si="14"/>
        <v>192</v>
      </c>
      <c r="K78" s="8">
        <f t="shared" si="18"/>
        <v>4.5801526717557248</v>
      </c>
    </row>
    <row r="79" spans="1:11" ht="55.5" customHeight="1">
      <c r="A79" s="28"/>
      <c r="B79" s="10" t="s">
        <v>136</v>
      </c>
      <c r="C79" s="1" t="s">
        <v>140</v>
      </c>
      <c r="D79" s="28"/>
      <c r="E79" s="9">
        <v>550</v>
      </c>
      <c r="F79" s="9"/>
      <c r="G79" s="8">
        <f t="shared" si="16"/>
        <v>550</v>
      </c>
      <c r="H79" s="9"/>
      <c r="I79" s="9"/>
      <c r="J79" s="8">
        <f t="shared" si="14"/>
        <v>0</v>
      </c>
      <c r="K79" s="8">
        <f t="shared" si="18"/>
        <v>0</v>
      </c>
    </row>
    <row r="80" spans="1:11" ht="90" customHeight="1">
      <c r="A80" s="28">
        <v>15</v>
      </c>
      <c r="B80" s="1"/>
      <c r="C80" s="18" t="s">
        <v>125</v>
      </c>
      <c r="D80" s="13" t="s">
        <v>11</v>
      </c>
      <c r="E80" s="8">
        <f>SUM(E81+E82+E83)</f>
        <v>130</v>
      </c>
      <c r="F80" s="8">
        <f>SUM(F81+F82+F83)</f>
        <v>3580</v>
      </c>
      <c r="G80" s="8">
        <f>SUM(E80+F80)</f>
        <v>3710</v>
      </c>
      <c r="H80" s="8">
        <f>SUM(H81+H82+H83)</f>
        <v>16</v>
      </c>
      <c r="I80" s="8">
        <f>SUM(I81+I82+I83)</f>
        <v>2472.1999999999998</v>
      </c>
      <c r="J80" s="8">
        <f t="shared" si="14"/>
        <v>2488.1999999999998</v>
      </c>
      <c r="K80" s="8">
        <f t="shared" si="18"/>
        <v>67.067385444743934</v>
      </c>
    </row>
    <row r="81" spans="1:11" ht="59.25" customHeight="1">
      <c r="A81" s="28"/>
      <c r="B81" s="10" t="s">
        <v>56</v>
      </c>
      <c r="C81" s="21" t="s">
        <v>33</v>
      </c>
      <c r="D81" s="35" t="s">
        <v>17</v>
      </c>
      <c r="E81" s="9"/>
      <c r="F81" s="9">
        <f>1500-1400</f>
        <v>100</v>
      </c>
      <c r="G81" s="8">
        <f t="shared" ref="G81:G88" si="19">E81+F81</f>
        <v>100</v>
      </c>
      <c r="H81" s="9"/>
      <c r="I81" s="9">
        <f>98.7</f>
        <v>98.7</v>
      </c>
      <c r="J81" s="8">
        <f t="shared" si="14"/>
        <v>98.7</v>
      </c>
      <c r="K81" s="8">
        <f t="shared" si="18"/>
        <v>98.7</v>
      </c>
    </row>
    <row r="82" spans="1:11" ht="48.75" customHeight="1">
      <c r="A82" s="28"/>
      <c r="B82" s="20" t="s">
        <v>126</v>
      </c>
      <c r="C82" s="22" t="s">
        <v>127</v>
      </c>
      <c r="D82" s="35"/>
      <c r="E82" s="9">
        <v>130</v>
      </c>
      <c r="F82" s="9">
        <v>80</v>
      </c>
      <c r="G82" s="8">
        <f t="shared" si="19"/>
        <v>210</v>
      </c>
      <c r="H82" s="9">
        <f>4+4+4+4</f>
        <v>16</v>
      </c>
      <c r="I82" s="9">
        <f>73.5</f>
        <v>73.5</v>
      </c>
      <c r="J82" s="8">
        <f t="shared" si="14"/>
        <v>89.5</v>
      </c>
      <c r="K82" s="8">
        <f>J82/G82*100</f>
        <v>42.61904761904762</v>
      </c>
    </row>
    <row r="83" spans="1:11" ht="45" customHeight="1">
      <c r="A83" s="28"/>
      <c r="B83" s="10">
        <v>1619770</v>
      </c>
      <c r="C83" s="22" t="s">
        <v>30</v>
      </c>
      <c r="D83" s="35"/>
      <c r="E83" s="9"/>
      <c r="F83" s="9">
        <f>2000+1400</f>
        <v>3400</v>
      </c>
      <c r="G83" s="8">
        <f t="shared" si="19"/>
        <v>3400</v>
      </c>
      <c r="H83" s="9"/>
      <c r="I83" s="9">
        <f>800+1500</f>
        <v>2300</v>
      </c>
      <c r="J83" s="8">
        <f t="shared" si="14"/>
        <v>2300</v>
      </c>
      <c r="K83" s="8">
        <f t="shared" si="18"/>
        <v>67.64705882352942</v>
      </c>
    </row>
    <row r="84" spans="1:11" ht="82.5" customHeight="1">
      <c r="A84" s="28">
        <v>16</v>
      </c>
      <c r="B84" s="10"/>
      <c r="C84" s="18" t="s">
        <v>122</v>
      </c>
      <c r="D84" s="13" t="s">
        <v>11</v>
      </c>
      <c r="E84" s="8">
        <f>E85+E86</f>
        <v>0</v>
      </c>
      <c r="F84" s="8">
        <f>F85+F86</f>
        <v>1215</v>
      </c>
      <c r="G84" s="8">
        <f>E84+F84</f>
        <v>1215</v>
      </c>
      <c r="H84" s="8">
        <f>H85+H86</f>
        <v>0</v>
      </c>
      <c r="I84" s="8">
        <f>I85+I86</f>
        <v>650</v>
      </c>
      <c r="J84" s="8">
        <f t="shared" si="14"/>
        <v>650</v>
      </c>
      <c r="K84" s="8">
        <f t="shared" ref="K84:K89" si="20">J84/G84*100</f>
        <v>53.497942386831276</v>
      </c>
    </row>
    <row r="85" spans="1:11" ht="66" customHeight="1">
      <c r="A85" s="28"/>
      <c r="B85" s="10">
        <v>1618821</v>
      </c>
      <c r="C85" s="1" t="s">
        <v>57</v>
      </c>
      <c r="D85" s="28" t="s">
        <v>17</v>
      </c>
      <c r="E85" s="9"/>
      <c r="F85" s="9">
        <v>215</v>
      </c>
      <c r="G85" s="8">
        <f t="shared" si="19"/>
        <v>215</v>
      </c>
      <c r="H85" s="9"/>
      <c r="I85" s="9"/>
      <c r="J85" s="8">
        <f t="shared" si="14"/>
        <v>0</v>
      </c>
      <c r="K85" s="8">
        <f t="shared" si="20"/>
        <v>0</v>
      </c>
    </row>
    <row r="86" spans="1:11" ht="51.75" customHeight="1">
      <c r="A86" s="28"/>
      <c r="B86" s="10">
        <v>1618831</v>
      </c>
      <c r="C86" s="1" t="s">
        <v>58</v>
      </c>
      <c r="D86" s="28"/>
      <c r="E86" s="9"/>
      <c r="F86" s="9">
        <v>1000</v>
      </c>
      <c r="G86" s="8">
        <f t="shared" si="19"/>
        <v>1000</v>
      </c>
      <c r="H86" s="9"/>
      <c r="I86" s="9">
        <f>150+250+50+200</f>
        <v>650</v>
      </c>
      <c r="J86" s="8">
        <f t="shared" si="14"/>
        <v>650</v>
      </c>
      <c r="K86" s="8">
        <f t="shared" si="20"/>
        <v>65</v>
      </c>
    </row>
    <row r="87" spans="1:11" ht="87" customHeight="1">
      <c r="A87" s="28">
        <v>17</v>
      </c>
      <c r="B87" s="10"/>
      <c r="C87" s="18" t="s">
        <v>121</v>
      </c>
      <c r="D87" s="13" t="s">
        <v>11</v>
      </c>
      <c r="E87" s="8">
        <f>SUM(E88:E89)</f>
        <v>550811.4</v>
      </c>
      <c r="F87" s="8">
        <f>SUM(F88:F89)</f>
        <v>49491.5</v>
      </c>
      <c r="G87" s="8">
        <f>E87+F87</f>
        <v>600302.9</v>
      </c>
      <c r="H87" s="8">
        <f>SUM(H88:H89)</f>
        <v>357280.2429999999</v>
      </c>
      <c r="I87" s="8">
        <f>SUM(I88:I89)</f>
        <v>702.4</v>
      </c>
      <c r="J87" s="8">
        <f>H87+I87</f>
        <v>357982.64299999992</v>
      </c>
      <c r="K87" s="8">
        <f t="shared" si="20"/>
        <v>59.633668769549487</v>
      </c>
    </row>
    <row r="88" spans="1:11" ht="62.25" customHeight="1">
      <c r="A88" s="28"/>
      <c r="B88" s="10" t="s">
        <v>45</v>
      </c>
      <c r="C88" s="1" t="s">
        <v>59</v>
      </c>
      <c r="D88" s="28" t="s">
        <v>173</v>
      </c>
      <c r="E88" s="9">
        <v>240000</v>
      </c>
      <c r="F88" s="9"/>
      <c r="G88" s="8">
        <f t="shared" si="19"/>
        <v>240000</v>
      </c>
      <c r="H88" s="9">
        <f>3157.5+509.4+730.8+593.97+549.8+2237.2+6569.2+604.4+1371.9+3964.8+5055.2+2457.2+7.2+1786.2+12199.1+3237.2+3391.2+675.4+3357.2+3601.8+2795.4+6934.6+1000.2+1109.34+16363.64+375.5+141.3+1813.5+5787.3+8435.6+15917.6+782.5+1122.693+1370.3+594.8+8523.7+3717.9+1466.3+5937.6+667.3+8578+2087.8+317.5+8110+19029.3+415.5+1154.4+6185.6+8647.3+1462.7</f>
        <v>196901.84299999996</v>
      </c>
      <c r="I88" s="9"/>
      <c r="J88" s="8">
        <f>H88+I88</f>
        <v>196901.84299999996</v>
      </c>
      <c r="K88" s="8">
        <f t="shared" si="20"/>
        <v>82.042434583333318</v>
      </c>
    </row>
    <row r="89" spans="1:11" ht="61.5" customHeight="1">
      <c r="A89" s="28"/>
      <c r="B89" s="10" t="s">
        <v>174</v>
      </c>
      <c r="C89" s="1" t="s">
        <v>175</v>
      </c>
      <c r="D89" s="28"/>
      <c r="E89" s="9">
        <f>96047.4+90724+50060+69250+4730</f>
        <v>310811.40000000002</v>
      </c>
      <c r="F89" s="9">
        <f>1200+41121.5+11800+100-4730</f>
        <v>49491.5</v>
      </c>
      <c r="G89" s="8">
        <f>E89+F89</f>
        <v>360302.9</v>
      </c>
      <c r="H89" s="9">
        <f>327.5+77.2+7434.1+22080.6+15814.1+13000+15913.5+5016.2+3000+13299+1447+6500+27.7+8228.8+8825+732.4+6833.7+4999.9+6500+10000+3941.8+6379.9</f>
        <v>160378.39999999997</v>
      </c>
      <c r="I89" s="9">
        <f>702.4</f>
        <v>702.4</v>
      </c>
      <c r="J89" s="8">
        <f>H89+I89</f>
        <v>161080.79999999996</v>
      </c>
      <c r="K89" s="8">
        <f t="shared" si="20"/>
        <v>44.707050650993914</v>
      </c>
    </row>
    <row r="90" spans="1:11" ht="73.5" customHeight="1">
      <c r="A90" s="28">
        <v>18</v>
      </c>
      <c r="B90" s="10"/>
      <c r="C90" s="18" t="s">
        <v>165</v>
      </c>
      <c r="D90" s="13" t="s">
        <v>11</v>
      </c>
      <c r="E90" s="8">
        <f>SUM(E91)</f>
        <v>3000</v>
      </c>
      <c r="F90" s="8">
        <f>SUM(F91)</f>
        <v>0</v>
      </c>
      <c r="G90" s="8">
        <f t="shared" ref="G90:G100" si="21">E90+F90</f>
        <v>3000</v>
      </c>
      <c r="H90" s="8">
        <f>SUM(H91)</f>
        <v>506.6</v>
      </c>
      <c r="I90" s="8">
        <f>SUM(I91)</f>
        <v>0</v>
      </c>
      <c r="J90" s="8">
        <f>H90+I90</f>
        <v>506.6</v>
      </c>
      <c r="K90" s="8">
        <f>J90/G90*100</f>
        <v>16.886666666666667</v>
      </c>
    </row>
    <row r="91" spans="1:11" ht="65.25" customHeight="1">
      <c r="A91" s="28"/>
      <c r="B91" s="10" t="s">
        <v>133</v>
      </c>
      <c r="C91" s="1" t="s">
        <v>120</v>
      </c>
      <c r="D91" s="1" t="s">
        <v>100</v>
      </c>
      <c r="E91" s="9">
        <v>3000</v>
      </c>
      <c r="F91" s="9"/>
      <c r="G91" s="8">
        <f t="shared" si="21"/>
        <v>3000</v>
      </c>
      <c r="H91" s="9">
        <f>159.9+62.5+110.2+174</f>
        <v>506.6</v>
      </c>
      <c r="I91" s="9"/>
      <c r="J91" s="8">
        <f t="shared" ref="J91:J100" si="22">H91+I91</f>
        <v>506.6</v>
      </c>
      <c r="K91" s="8">
        <f t="shared" ref="K91:K104" si="23">J91/G91*100</f>
        <v>16.886666666666667</v>
      </c>
    </row>
    <row r="92" spans="1:11" ht="89.25" customHeight="1">
      <c r="A92" s="28">
        <v>19</v>
      </c>
      <c r="B92" s="10"/>
      <c r="C92" s="19" t="s">
        <v>129</v>
      </c>
      <c r="D92" s="13" t="s">
        <v>11</v>
      </c>
      <c r="E92" s="8">
        <f>SUM(E93:E95)</f>
        <v>34200</v>
      </c>
      <c r="F92" s="8">
        <f>SUM(F93:F95)</f>
        <v>238.7</v>
      </c>
      <c r="G92" s="8">
        <f>E92+F92</f>
        <v>34438.699999999997</v>
      </c>
      <c r="H92" s="8">
        <f>SUM(H93:H95)</f>
        <v>13742.7</v>
      </c>
      <c r="I92" s="8">
        <f>SUM(I93:I95)</f>
        <v>238.7</v>
      </c>
      <c r="J92" s="8">
        <f t="shared" si="22"/>
        <v>13981.400000000001</v>
      </c>
      <c r="K92" s="8">
        <f>J92/G92*100</f>
        <v>40.5979319776879</v>
      </c>
    </row>
    <row r="93" spans="1:11" ht="44.25" customHeight="1">
      <c r="A93" s="28"/>
      <c r="B93" s="10">
        <v>2417110</v>
      </c>
      <c r="C93" s="9" t="s">
        <v>130</v>
      </c>
      <c r="D93" s="28" t="s">
        <v>18</v>
      </c>
      <c r="E93" s="9">
        <v>13600</v>
      </c>
      <c r="F93" s="9"/>
      <c r="G93" s="8">
        <f t="shared" si="21"/>
        <v>13600</v>
      </c>
      <c r="H93" s="9">
        <f>31.9+200.1+203.7+221.7+288.7+1.6</f>
        <v>947.69999999999993</v>
      </c>
      <c r="I93" s="9"/>
      <c r="J93" s="8">
        <f t="shared" si="22"/>
        <v>947.69999999999993</v>
      </c>
      <c r="K93" s="8">
        <f>J93/G93*100</f>
        <v>6.9683823529411759</v>
      </c>
    </row>
    <row r="94" spans="1:11" ht="49.5" customHeight="1">
      <c r="A94" s="28"/>
      <c r="B94" s="10" t="s">
        <v>176</v>
      </c>
      <c r="C94" s="22" t="s">
        <v>30</v>
      </c>
      <c r="D94" s="28"/>
      <c r="E94" s="9"/>
      <c r="F94" s="9">
        <v>238.7</v>
      </c>
      <c r="G94" s="8">
        <f t="shared" si="21"/>
        <v>238.7</v>
      </c>
      <c r="H94" s="9"/>
      <c r="I94" s="9">
        <f>238.7</f>
        <v>238.7</v>
      </c>
      <c r="J94" s="8">
        <f t="shared" si="22"/>
        <v>238.7</v>
      </c>
      <c r="K94" s="8">
        <f>J94/G94*100</f>
        <v>100</v>
      </c>
    </row>
    <row r="95" spans="1:11" ht="49.5" customHeight="1">
      <c r="A95" s="28"/>
      <c r="B95" s="20" t="s">
        <v>134</v>
      </c>
      <c r="C95" s="22" t="s">
        <v>135</v>
      </c>
      <c r="D95" s="28"/>
      <c r="E95" s="9">
        <v>20600</v>
      </c>
      <c r="F95" s="9"/>
      <c r="G95" s="8">
        <f t="shared" si="21"/>
        <v>20600</v>
      </c>
      <c r="H95" s="9">
        <f>1500+1295+10000</f>
        <v>12795</v>
      </c>
      <c r="I95" s="8"/>
      <c r="J95" s="8">
        <f t="shared" si="22"/>
        <v>12795</v>
      </c>
      <c r="K95" s="8">
        <f>J95/G95*100</f>
        <v>62.111650485436897</v>
      </c>
    </row>
    <row r="96" spans="1:11" ht="78.75" customHeight="1">
      <c r="A96" s="28">
        <v>20</v>
      </c>
      <c r="B96" s="10"/>
      <c r="C96" s="18" t="s">
        <v>118</v>
      </c>
      <c r="D96" s="13" t="s">
        <v>11</v>
      </c>
      <c r="E96" s="8">
        <f>SUM(E97:E98)</f>
        <v>13066.13</v>
      </c>
      <c r="F96" s="8">
        <f>SUM(F97:F98)</f>
        <v>4000</v>
      </c>
      <c r="G96" s="8">
        <f t="shared" si="21"/>
        <v>17066.129999999997</v>
      </c>
      <c r="H96" s="8">
        <f>SUM(H97:H98)</f>
        <v>1109.4850000000001</v>
      </c>
      <c r="I96" s="8">
        <f>SUM(I97:I98)</f>
        <v>3200</v>
      </c>
      <c r="J96" s="8">
        <f t="shared" si="22"/>
        <v>4309.4850000000006</v>
      </c>
      <c r="K96" s="8">
        <f t="shared" si="23"/>
        <v>25.251682718929253</v>
      </c>
    </row>
    <row r="97" spans="1:11" ht="47.25" customHeight="1">
      <c r="A97" s="28"/>
      <c r="B97" s="10" t="s">
        <v>44</v>
      </c>
      <c r="C97" s="1" t="s">
        <v>60</v>
      </c>
      <c r="D97" s="28" t="s">
        <v>19</v>
      </c>
      <c r="E97" s="9">
        <f>12300+266.13</f>
        <v>12566.13</v>
      </c>
      <c r="F97" s="9"/>
      <c r="G97" s="8">
        <f t="shared" si="21"/>
        <v>12566.13</v>
      </c>
      <c r="H97" s="9">
        <f>435.985+238.2+44.1+287.8+40+63.4</f>
        <v>1109.4850000000001</v>
      </c>
      <c r="I97" s="9"/>
      <c r="J97" s="8">
        <f t="shared" si="22"/>
        <v>1109.4850000000001</v>
      </c>
      <c r="K97" s="8">
        <f t="shared" si="23"/>
        <v>8.8291701581950868</v>
      </c>
    </row>
    <row r="98" spans="1:11" ht="56.25" customHeight="1">
      <c r="A98" s="28"/>
      <c r="B98" s="10" t="s">
        <v>119</v>
      </c>
      <c r="C98" s="1" t="s">
        <v>63</v>
      </c>
      <c r="D98" s="28"/>
      <c r="E98" s="9">
        <v>500</v>
      </c>
      <c r="F98" s="9">
        <v>4000</v>
      </c>
      <c r="G98" s="8">
        <f t="shared" si="21"/>
        <v>4500</v>
      </c>
      <c r="H98" s="9"/>
      <c r="I98" s="9">
        <f>3200</f>
        <v>3200</v>
      </c>
      <c r="J98" s="8">
        <f t="shared" si="22"/>
        <v>3200</v>
      </c>
      <c r="K98" s="8">
        <f t="shared" si="23"/>
        <v>71.111111111111114</v>
      </c>
    </row>
    <row r="99" spans="1:11" ht="59.25" customHeight="1">
      <c r="A99" s="28">
        <v>21</v>
      </c>
      <c r="B99" s="1"/>
      <c r="C99" s="18" t="s">
        <v>117</v>
      </c>
      <c r="D99" s="13" t="s">
        <v>11</v>
      </c>
      <c r="E99" s="8">
        <f>SUM(E100)</f>
        <v>1244.6590000000001</v>
      </c>
      <c r="F99" s="8">
        <f>SUM(F100)</f>
        <v>0</v>
      </c>
      <c r="G99" s="8">
        <f t="shared" si="21"/>
        <v>1244.6590000000001</v>
      </c>
      <c r="H99" s="8">
        <f>SUM(H100)</f>
        <v>244.7</v>
      </c>
      <c r="I99" s="8">
        <f>SUM(I100)</f>
        <v>0</v>
      </c>
      <c r="J99" s="8">
        <f t="shared" si="22"/>
        <v>244.7</v>
      </c>
      <c r="K99" s="8">
        <f t="shared" si="23"/>
        <v>19.660003261937604</v>
      </c>
    </row>
    <row r="100" spans="1:11" ht="45.75" customHeight="1">
      <c r="A100" s="28"/>
      <c r="B100" s="10">
        <v>2617622</v>
      </c>
      <c r="C100" s="1" t="s">
        <v>61</v>
      </c>
      <c r="D100" s="1" t="s">
        <v>20</v>
      </c>
      <c r="E100" s="9">
        <f>1000+244.659</f>
        <v>1244.6590000000001</v>
      </c>
      <c r="F100" s="9"/>
      <c r="G100" s="8">
        <f t="shared" si="21"/>
        <v>1244.6590000000001</v>
      </c>
      <c r="H100" s="9">
        <f>244.7</f>
        <v>244.7</v>
      </c>
      <c r="I100" s="8"/>
      <c r="J100" s="8">
        <f t="shared" si="22"/>
        <v>244.7</v>
      </c>
      <c r="K100" s="8">
        <f t="shared" si="23"/>
        <v>19.660003261937604</v>
      </c>
    </row>
    <row r="101" spans="1:11" ht="78.75" customHeight="1">
      <c r="A101" s="28">
        <v>22</v>
      </c>
      <c r="B101" s="10"/>
      <c r="C101" s="18" t="s">
        <v>167</v>
      </c>
      <c r="D101" s="13" t="s">
        <v>11</v>
      </c>
      <c r="E101" s="8">
        <f>SUM(E102)</f>
        <v>11000</v>
      </c>
      <c r="F101" s="8">
        <f>SUM(F102)</f>
        <v>0</v>
      </c>
      <c r="G101" s="8">
        <f>SUM(E101+F101)</f>
        <v>11000</v>
      </c>
      <c r="H101" s="8">
        <f>SUM(H102)</f>
        <v>3805.8</v>
      </c>
      <c r="I101" s="8">
        <f>SUM(I102)</f>
        <v>0</v>
      </c>
      <c r="J101" s="8">
        <f>H101+I101</f>
        <v>3805.8</v>
      </c>
      <c r="K101" s="8">
        <f>J101/G101*100</f>
        <v>34.598181818181821</v>
      </c>
    </row>
    <row r="102" spans="1:11" ht="57.75" customHeight="1">
      <c r="A102" s="28"/>
      <c r="B102" s="10" t="s">
        <v>168</v>
      </c>
      <c r="C102" s="1" t="s">
        <v>169</v>
      </c>
      <c r="D102" s="1" t="s">
        <v>1</v>
      </c>
      <c r="E102" s="9">
        <v>11000</v>
      </c>
      <c r="F102" s="9"/>
      <c r="G102" s="8">
        <f t="shared" ref="G102:G110" si="24">E102+F102</f>
        <v>11000</v>
      </c>
      <c r="H102" s="9">
        <f>1396.2+464.6+116.7+387.6+328.1+210.6+45.6+170.3+248.3+242.6+88.1+18+89.1</f>
        <v>3805.8</v>
      </c>
      <c r="I102" s="9"/>
      <c r="J102" s="8">
        <f>H102+I102</f>
        <v>3805.8</v>
      </c>
      <c r="K102" s="8">
        <f t="shared" si="23"/>
        <v>34.598181818181821</v>
      </c>
    </row>
    <row r="103" spans="1:11" ht="70.5" customHeight="1">
      <c r="A103" s="28">
        <v>23</v>
      </c>
      <c r="B103" s="10"/>
      <c r="C103" s="18" t="s">
        <v>116</v>
      </c>
      <c r="D103" s="13" t="s">
        <v>11</v>
      </c>
      <c r="E103" s="8">
        <f>SUM(E104)</f>
        <v>6885.7510000000002</v>
      </c>
      <c r="F103" s="8">
        <f>SUM(F104)</f>
        <v>0</v>
      </c>
      <c r="G103" s="8">
        <f t="shared" si="24"/>
        <v>6885.7510000000002</v>
      </c>
      <c r="H103" s="8">
        <f>SUM(H104)</f>
        <v>52.842999999999989</v>
      </c>
      <c r="I103" s="8">
        <f>SUM(I104)</f>
        <v>0</v>
      </c>
      <c r="J103" s="8">
        <f>H103+I103</f>
        <v>52.842999999999989</v>
      </c>
      <c r="K103" s="8">
        <f t="shared" si="23"/>
        <v>0.7674253687070588</v>
      </c>
    </row>
    <row r="104" spans="1:11" ht="43.5" customHeight="1">
      <c r="A104" s="28"/>
      <c r="B104" s="10">
        <v>2717693</v>
      </c>
      <c r="C104" s="9" t="s">
        <v>114</v>
      </c>
      <c r="D104" s="1" t="s">
        <v>21</v>
      </c>
      <c r="E104" s="9">
        <f>6850+35.751</f>
        <v>6885.7510000000002</v>
      </c>
      <c r="F104" s="9"/>
      <c r="G104" s="8">
        <f t="shared" si="24"/>
        <v>6885.7510000000002</v>
      </c>
      <c r="H104" s="9">
        <f>6.94+35.751+8.9+0.9+0.352</f>
        <v>52.842999999999989</v>
      </c>
      <c r="I104" s="9"/>
      <c r="J104" s="8">
        <f>H104+I104</f>
        <v>52.842999999999989</v>
      </c>
      <c r="K104" s="8">
        <f t="shared" si="23"/>
        <v>0.7674253687070588</v>
      </c>
    </row>
    <row r="105" spans="1:11" ht="70.5" customHeight="1">
      <c r="A105" s="28">
        <v>24</v>
      </c>
      <c r="B105" s="10"/>
      <c r="C105" s="18" t="s">
        <v>115</v>
      </c>
      <c r="D105" s="13" t="s">
        <v>11</v>
      </c>
      <c r="E105" s="8">
        <f>SUM(E106:E109)</f>
        <v>2274.1</v>
      </c>
      <c r="F105" s="8">
        <f>SUM(F106:F109)</f>
        <v>78894.100000000006</v>
      </c>
      <c r="G105" s="8">
        <f t="shared" si="24"/>
        <v>81168.200000000012</v>
      </c>
      <c r="H105" s="8">
        <f>SUM(H106:H109)</f>
        <v>1025.4999999999998</v>
      </c>
      <c r="I105" s="8">
        <f>SUM(I106:I109)</f>
        <v>8441</v>
      </c>
      <c r="J105" s="8">
        <f>H105+I105</f>
        <v>9466.5</v>
      </c>
      <c r="K105" s="8">
        <f t="shared" ref="K105:K110" si="25">J105/G105*100</f>
        <v>11.662818690078131</v>
      </c>
    </row>
    <row r="106" spans="1:11" ht="45" customHeight="1">
      <c r="A106" s="28"/>
      <c r="B106" s="10" t="s">
        <v>62</v>
      </c>
      <c r="C106" s="1" t="s">
        <v>34</v>
      </c>
      <c r="D106" s="28" t="s">
        <v>22</v>
      </c>
      <c r="E106" s="9">
        <v>2274.1</v>
      </c>
      <c r="F106" s="9"/>
      <c r="G106" s="8">
        <f t="shared" si="24"/>
        <v>2274.1</v>
      </c>
      <c r="H106" s="9">
        <f>57.7+93.5+59.9+101.3+59.6+108.8+59.1+95.3+77.4+117.3+31.5+45+119.1</f>
        <v>1025.4999999999998</v>
      </c>
      <c r="I106" s="9"/>
      <c r="J106" s="8">
        <f t="shared" ref="J106:J118" si="26">H106+I106</f>
        <v>1025.4999999999998</v>
      </c>
      <c r="K106" s="8">
        <f t="shared" si="25"/>
        <v>45.094762763290966</v>
      </c>
    </row>
    <row r="107" spans="1:11" ht="58.5" customHeight="1">
      <c r="A107" s="28"/>
      <c r="B107" s="10" t="s">
        <v>199</v>
      </c>
      <c r="C107" s="1" t="s">
        <v>63</v>
      </c>
      <c r="D107" s="28"/>
      <c r="E107" s="9"/>
      <c r="F107" s="9">
        <f>190</f>
        <v>190</v>
      </c>
      <c r="G107" s="8">
        <f t="shared" si="24"/>
        <v>190</v>
      </c>
      <c r="H107" s="9"/>
      <c r="I107" s="9">
        <f>38</f>
        <v>38</v>
      </c>
      <c r="J107" s="8">
        <f t="shared" si="26"/>
        <v>38</v>
      </c>
      <c r="K107" s="8">
        <f t="shared" si="25"/>
        <v>20</v>
      </c>
    </row>
    <row r="108" spans="1:11" ht="57.75" customHeight="1">
      <c r="A108" s="28"/>
      <c r="B108" s="10" t="s">
        <v>200</v>
      </c>
      <c r="C108" s="1" t="s">
        <v>201</v>
      </c>
      <c r="D108" s="28"/>
      <c r="E108" s="9"/>
      <c r="F108" s="9">
        <f>67664+6850</f>
        <v>74514</v>
      </c>
      <c r="G108" s="8">
        <f t="shared" si="24"/>
        <v>74514</v>
      </c>
      <c r="H108" s="9"/>
      <c r="I108" s="9">
        <f>319.3+6565.5+1020</f>
        <v>7904.8</v>
      </c>
      <c r="J108" s="8">
        <f t="shared" si="26"/>
        <v>7904.8</v>
      </c>
      <c r="K108" s="8">
        <f t="shared" si="25"/>
        <v>10.608476259494861</v>
      </c>
    </row>
    <row r="109" spans="1:11" ht="61.5" customHeight="1">
      <c r="A109" s="28"/>
      <c r="B109" s="10">
        <v>2818340</v>
      </c>
      <c r="C109" s="1" t="s">
        <v>35</v>
      </c>
      <c r="D109" s="28"/>
      <c r="E109" s="9"/>
      <c r="F109" s="9">
        <f>33077-22384-6850+347.1</f>
        <v>4190.1000000000004</v>
      </c>
      <c r="G109" s="8">
        <f t="shared" si="24"/>
        <v>4190.1000000000004</v>
      </c>
      <c r="H109" s="9"/>
      <c r="I109" s="9">
        <f>151.1+347.1</f>
        <v>498.20000000000005</v>
      </c>
      <c r="J109" s="8">
        <f t="shared" si="26"/>
        <v>498.20000000000005</v>
      </c>
      <c r="K109" s="8">
        <f t="shared" si="25"/>
        <v>11.889931027899095</v>
      </c>
    </row>
    <row r="110" spans="1:11" ht="102" customHeight="1">
      <c r="A110" s="29">
        <v>25</v>
      </c>
      <c r="B110" s="10"/>
      <c r="C110" s="18" t="s">
        <v>111</v>
      </c>
      <c r="D110" s="13" t="s">
        <v>11</v>
      </c>
      <c r="E110" s="8">
        <f>SUM(E111:E115)</f>
        <v>53182.175000000003</v>
      </c>
      <c r="F110" s="8">
        <f>SUM(F111:F115)</f>
        <v>85992.214999999997</v>
      </c>
      <c r="G110" s="8">
        <f t="shared" si="24"/>
        <v>139174.39000000001</v>
      </c>
      <c r="H110" s="8">
        <f>SUM(H111:H115)</f>
        <v>37415.468000000001</v>
      </c>
      <c r="I110" s="8">
        <f>SUM(I111:I115)</f>
        <v>59063.544999999998</v>
      </c>
      <c r="J110" s="8">
        <f t="shared" si="26"/>
        <v>96479.013000000006</v>
      </c>
      <c r="K110" s="8">
        <f t="shared" si="25"/>
        <v>69.322389701151195</v>
      </c>
    </row>
    <row r="111" spans="1:11" ht="71.25" customHeight="1">
      <c r="A111" s="34"/>
      <c r="B111" s="10">
        <v>2918110</v>
      </c>
      <c r="C111" s="9" t="s">
        <v>112</v>
      </c>
      <c r="D111" s="29" t="s">
        <v>23</v>
      </c>
      <c r="E111" s="9">
        <f>5100+540+400</f>
        <v>6040</v>
      </c>
      <c r="F111" s="9">
        <f>400-400</f>
        <v>0</v>
      </c>
      <c r="G111" s="8">
        <f t="shared" ref="G111:G117" si="27">E111+F111</f>
        <v>6040</v>
      </c>
      <c r="H111" s="9">
        <f>3766.08+400+300+502.2+399.9</f>
        <v>5368.1799999999994</v>
      </c>
      <c r="I111" s="9"/>
      <c r="J111" s="8">
        <f t="shared" si="26"/>
        <v>5368.1799999999994</v>
      </c>
      <c r="K111" s="8">
        <f t="shared" ref="K111:K118" si="28">J111/G111*100</f>
        <v>88.877152317880785</v>
      </c>
    </row>
    <row r="112" spans="1:11" ht="67.5" customHeight="1">
      <c r="A112" s="34"/>
      <c r="B112" s="10">
        <v>2918120</v>
      </c>
      <c r="C112" s="9" t="s">
        <v>36</v>
      </c>
      <c r="D112" s="34"/>
      <c r="E112" s="9">
        <v>11200</v>
      </c>
      <c r="F112" s="9">
        <f>400</f>
        <v>400</v>
      </c>
      <c r="G112" s="8">
        <f t="shared" si="27"/>
        <v>11600</v>
      </c>
      <c r="H112" s="9">
        <f>359.5+497.7+281.3+16.2+0.39+430.45+353.4+464.9+420.3+0.9+409.8+437.7+7.5+546.2+99.88+425.783+525</f>
        <v>5276.9030000000012</v>
      </c>
      <c r="I112" s="9"/>
      <c r="J112" s="8">
        <f t="shared" si="26"/>
        <v>5276.9030000000012</v>
      </c>
      <c r="K112" s="8">
        <f t="shared" si="28"/>
        <v>45.490543103448282</v>
      </c>
    </row>
    <row r="113" spans="1:11" ht="63" customHeight="1">
      <c r="A113" s="34"/>
      <c r="B113" s="10" t="s">
        <v>113</v>
      </c>
      <c r="C113" s="23" t="s">
        <v>30</v>
      </c>
      <c r="D113" s="34"/>
      <c r="E113" s="9">
        <f>1200+3000</f>
        <v>4200</v>
      </c>
      <c r="F113" s="9">
        <f>5000+1500</f>
        <v>6500</v>
      </c>
      <c r="G113" s="8">
        <f t="shared" si="27"/>
        <v>10700</v>
      </c>
      <c r="H113" s="9">
        <f>72+64+398.43+575.76+182+183.3+33.5</f>
        <v>1508.99</v>
      </c>
      <c r="I113" s="9">
        <f>215.2+337.8+1953.49+272+102</f>
        <v>2880.49</v>
      </c>
      <c r="J113" s="8">
        <f t="shared" si="26"/>
        <v>4389.4799999999996</v>
      </c>
      <c r="K113" s="8">
        <f t="shared" si="28"/>
        <v>41.023177570093452</v>
      </c>
    </row>
    <row r="114" spans="1:11" ht="71.25" customHeight="1">
      <c r="A114" s="34"/>
      <c r="B114" s="20">
        <v>2919800</v>
      </c>
      <c r="C114" s="1" t="s">
        <v>63</v>
      </c>
      <c r="D114" s="30"/>
      <c r="E114" s="9">
        <f>22177.24+1000+1000+664.935+100+6800</f>
        <v>31742.175000000003</v>
      </c>
      <c r="F114" s="9">
        <f>25850+1000+50577.455+555.5-7648-315.5</f>
        <v>70019.455000000002</v>
      </c>
      <c r="G114" s="8">
        <f t="shared" si="27"/>
        <v>101761.63</v>
      </c>
      <c r="H114" s="9">
        <f>372.85+23.8+1745.5+12638.545+17.7+32+9294.5+250+886.5</f>
        <v>25261.395</v>
      </c>
      <c r="I114" s="9">
        <f>1000+22991.455+24736+2346</f>
        <v>51073.455000000002</v>
      </c>
      <c r="J114" s="8">
        <f t="shared" si="26"/>
        <v>76334.850000000006</v>
      </c>
      <c r="K114" s="8">
        <f t="shared" si="28"/>
        <v>75.013391589737708</v>
      </c>
    </row>
    <row r="115" spans="1:11" ht="64.5" customHeight="1">
      <c r="A115" s="30"/>
      <c r="B115" s="20" t="s">
        <v>143</v>
      </c>
      <c r="C115" s="1" t="s">
        <v>144</v>
      </c>
      <c r="D115" s="1" t="s">
        <v>146</v>
      </c>
      <c r="E115" s="9"/>
      <c r="F115" s="9">
        <v>9072.76</v>
      </c>
      <c r="G115" s="8">
        <f t="shared" si="27"/>
        <v>9072.76</v>
      </c>
      <c r="H115" s="9"/>
      <c r="I115" s="9">
        <f>4481.9+627.7</f>
        <v>5109.5999999999995</v>
      </c>
      <c r="J115" s="8">
        <f t="shared" si="26"/>
        <v>5109.5999999999995</v>
      </c>
      <c r="K115" s="8">
        <f t="shared" si="28"/>
        <v>56.318033321723483</v>
      </c>
    </row>
    <row r="116" spans="1:11" ht="113.25" customHeight="1">
      <c r="A116" s="28">
        <v>26</v>
      </c>
      <c r="B116" s="1"/>
      <c r="C116" s="19" t="s">
        <v>131</v>
      </c>
      <c r="D116" s="13" t="s">
        <v>11</v>
      </c>
      <c r="E116" s="8">
        <f>SUM(E117)</f>
        <v>5000</v>
      </c>
      <c r="F116" s="8">
        <f>SUM(F117)</f>
        <v>0</v>
      </c>
      <c r="G116" s="8">
        <f t="shared" si="27"/>
        <v>5000</v>
      </c>
      <c r="H116" s="8">
        <f>SUM(H117)</f>
        <v>0</v>
      </c>
      <c r="I116" s="8">
        <f>SUM(I117)</f>
        <v>0</v>
      </c>
      <c r="J116" s="8">
        <f t="shared" si="26"/>
        <v>0</v>
      </c>
      <c r="K116" s="8">
        <f t="shared" si="28"/>
        <v>0</v>
      </c>
    </row>
    <row r="117" spans="1:11" ht="75" customHeight="1">
      <c r="A117" s="28"/>
      <c r="B117" s="10" t="s">
        <v>132</v>
      </c>
      <c r="C117" s="9" t="s">
        <v>114</v>
      </c>
      <c r="D117" s="1" t="s">
        <v>21</v>
      </c>
      <c r="E117" s="9">
        <v>5000</v>
      </c>
      <c r="F117" s="9">
        <f>2500-2500</f>
        <v>0</v>
      </c>
      <c r="G117" s="8">
        <f t="shared" si="27"/>
        <v>5000</v>
      </c>
      <c r="H117" s="9"/>
      <c r="I117" s="9"/>
      <c r="J117" s="8">
        <f t="shared" si="26"/>
        <v>0</v>
      </c>
      <c r="K117" s="8">
        <f t="shared" si="28"/>
        <v>0</v>
      </c>
    </row>
    <row r="118" spans="1:11" ht="97.5" customHeight="1">
      <c r="A118" s="28">
        <v>27</v>
      </c>
      <c r="B118" s="14"/>
      <c r="C118" s="19" t="s">
        <v>170</v>
      </c>
      <c r="D118" s="13" t="s">
        <v>11</v>
      </c>
      <c r="E118" s="8">
        <f>SUM(E119:E119)</f>
        <v>51300</v>
      </c>
      <c r="F118" s="8">
        <f>SUM(F119:F119)</f>
        <v>0</v>
      </c>
      <c r="G118" s="8">
        <f>SUM(E118+F118)</f>
        <v>51300</v>
      </c>
      <c r="H118" s="8">
        <f>SUM(H119:H119)</f>
        <v>1500</v>
      </c>
      <c r="I118" s="8">
        <f>SUM(I119:I119)</f>
        <v>0</v>
      </c>
      <c r="J118" s="8">
        <f t="shared" si="26"/>
        <v>1500</v>
      </c>
      <c r="K118" s="8">
        <f t="shared" si="28"/>
        <v>2.9239766081871341</v>
      </c>
    </row>
    <row r="119" spans="1:11" ht="63" customHeight="1">
      <c r="A119" s="28"/>
      <c r="B119" s="10" t="s">
        <v>132</v>
      </c>
      <c r="C119" s="9" t="s">
        <v>114</v>
      </c>
      <c r="D119" s="1" t="s">
        <v>21</v>
      </c>
      <c r="E119" s="9">
        <f>12000+1300+38000</f>
        <v>51300</v>
      </c>
      <c r="F119" s="9">
        <f>38000-38000</f>
        <v>0</v>
      </c>
      <c r="G119" s="8">
        <f>+E119+F119</f>
        <v>51300</v>
      </c>
      <c r="H119" s="9">
        <f>1300+200</f>
        <v>1500</v>
      </c>
      <c r="I119" s="9"/>
      <c r="J119" s="8">
        <f>+H119+I119</f>
        <v>1500</v>
      </c>
      <c r="K119" s="8">
        <f>J119/G119*100</f>
        <v>2.9239766081871341</v>
      </c>
    </row>
    <row r="120" spans="1:11" ht="86.25" customHeight="1">
      <c r="A120" s="28">
        <v>28</v>
      </c>
      <c r="B120" s="10"/>
      <c r="C120" s="17" t="s">
        <v>157</v>
      </c>
      <c r="D120" s="13" t="s">
        <v>11</v>
      </c>
      <c r="E120" s="8">
        <f>SUM(E121:E123)</f>
        <v>73718.626000000004</v>
      </c>
      <c r="F120" s="8">
        <f>SUM(F121:F123)</f>
        <v>500</v>
      </c>
      <c r="G120" s="8">
        <f t="shared" ref="G120:G140" si="29">E120+F120</f>
        <v>74218.626000000004</v>
      </c>
      <c r="H120" s="8">
        <f>SUM(H121:H123)</f>
        <v>24765.511000000002</v>
      </c>
      <c r="I120" s="8">
        <f>SUM(I121:I123)</f>
        <v>0</v>
      </c>
      <c r="J120" s="8">
        <f t="shared" ref="J120:J127" si="30">H120+I120</f>
        <v>24765.511000000002</v>
      </c>
      <c r="K120" s="8">
        <f>J120/G120*100</f>
        <v>33.368323202318514</v>
      </c>
    </row>
    <row r="121" spans="1:11" ht="52.5" customHeight="1">
      <c r="A121" s="28"/>
      <c r="B121" s="10" t="s">
        <v>147</v>
      </c>
      <c r="C121" s="23" t="s">
        <v>148</v>
      </c>
      <c r="D121" s="28" t="s">
        <v>149</v>
      </c>
      <c r="E121" s="9">
        <f>8100+4722.5</f>
        <v>12822.5</v>
      </c>
      <c r="F121" s="9"/>
      <c r="G121" s="8">
        <f t="shared" si="29"/>
        <v>12822.5</v>
      </c>
      <c r="H121" s="9">
        <f>3474.9+300.6+947</f>
        <v>4722.5</v>
      </c>
      <c r="I121" s="9"/>
      <c r="J121" s="8">
        <f t="shared" si="30"/>
        <v>4722.5</v>
      </c>
      <c r="K121" s="8">
        <f>J121/G121*100</f>
        <v>36.829791382335735</v>
      </c>
    </row>
    <row r="122" spans="1:11" ht="62.25" customHeight="1">
      <c r="A122" s="28"/>
      <c r="B122" s="10" t="s">
        <v>150</v>
      </c>
      <c r="C122" s="23" t="s">
        <v>145</v>
      </c>
      <c r="D122" s="28"/>
      <c r="E122" s="9">
        <f>10000+10139.466+40050</f>
        <v>60189.466</v>
      </c>
      <c r="F122" s="9"/>
      <c r="G122" s="8">
        <f t="shared" si="29"/>
        <v>60189.466</v>
      </c>
      <c r="H122" s="9">
        <f>3160.2+6979.303+9622.788</f>
        <v>19762.291000000001</v>
      </c>
      <c r="I122" s="9"/>
      <c r="J122" s="8">
        <f t="shared" si="30"/>
        <v>19762.291000000001</v>
      </c>
      <c r="K122" s="8">
        <f>J122/G122*100</f>
        <v>32.833471225679261</v>
      </c>
    </row>
    <row r="123" spans="1:11" ht="60" customHeight="1">
      <c r="A123" s="28"/>
      <c r="B123" s="10" t="s">
        <v>151</v>
      </c>
      <c r="C123" s="1" t="s">
        <v>63</v>
      </c>
      <c r="D123" s="28"/>
      <c r="E123" s="9">
        <f>700+6.66</f>
        <v>706.66</v>
      </c>
      <c r="F123" s="9">
        <v>500</v>
      </c>
      <c r="G123" s="8">
        <f t="shared" si="29"/>
        <v>1206.6599999999999</v>
      </c>
      <c r="H123" s="9">
        <f>15.84+83+6.2+175.68</f>
        <v>280.72000000000003</v>
      </c>
      <c r="I123" s="9">
        <f>175.68-175.68</f>
        <v>0</v>
      </c>
      <c r="J123" s="8">
        <f t="shared" si="30"/>
        <v>280.72000000000003</v>
      </c>
      <c r="K123" s="8">
        <f>J123/G123*100</f>
        <v>23.264216929375305</v>
      </c>
    </row>
    <row r="124" spans="1:11" ht="79.5" customHeight="1">
      <c r="A124" s="28">
        <v>29</v>
      </c>
      <c r="B124" s="10"/>
      <c r="C124" s="18" t="s">
        <v>152</v>
      </c>
      <c r="D124" s="13" t="s">
        <v>11</v>
      </c>
      <c r="E124" s="8">
        <f>SUM(E125:E126)</f>
        <v>6000</v>
      </c>
      <c r="F124" s="8">
        <f>SUM(F125:F126)</f>
        <v>0</v>
      </c>
      <c r="G124" s="8">
        <f t="shared" si="29"/>
        <v>6000</v>
      </c>
      <c r="H124" s="8">
        <f>SUM(H125:H126)</f>
        <v>1500</v>
      </c>
      <c r="I124" s="8">
        <f>SUM(I125:I126)</f>
        <v>0</v>
      </c>
      <c r="J124" s="8">
        <f t="shared" si="30"/>
        <v>1500</v>
      </c>
      <c r="K124" s="8">
        <f t="shared" ref="K124:K139" si="31">J124/G124*100</f>
        <v>25</v>
      </c>
    </row>
    <row r="125" spans="1:11" ht="60" customHeight="1">
      <c r="A125" s="28"/>
      <c r="B125" s="10" t="s">
        <v>214</v>
      </c>
      <c r="C125" s="1" t="s">
        <v>153</v>
      </c>
      <c r="D125" s="28" t="s">
        <v>154</v>
      </c>
      <c r="E125" s="9">
        <v>3000</v>
      </c>
      <c r="F125" s="9"/>
      <c r="G125" s="8">
        <f t="shared" si="29"/>
        <v>3000</v>
      </c>
      <c r="H125" s="9"/>
      <c r="I125" s="9"/>
      <c r="J125" s="8">
        <f t="shared" si="30"/>
        <v>0</v>
      </c>
      <c r="K125" s="8">
        <f t="shared" si="31"/>
        <v>0</v>
      </c>
    </row>
    <row r="126" spans="1:11" ht="62.25" customHeight="1">
      <c r="A126" s="28"/>
      <c r="B126" s="10" t="s">
        <v>155</v>
      </c>
      <c r="C126" s="1" t="s">
        <v>156</v>
      </c>
      <c r="D126" s="28"/>
      <c r="E126" s="9">
        <v>3000</v>
      </c>
      <c r="F126" s="9"/>
      <c r="G126" s="8">
        <f t="shared" si="29"/>
        <v>3000</v>
      </c>
      <c r="H126" s="9">
        <f>300+300+300+300+300</f>
        <v>1500</v>
      </c>
      <c r="I126" s="9"/>
      <c r="J126" s="8">
        <f t="shared" si="30"/>
        <v>1500</v>
      </c>
      <c r="K126" s="8">
        <f t="shared" si="31"/>
        <v>50</v>
      </c>
    </row>
    <row r="127" spans="1:11" ht="76.5" customHeight="1">
      <c r="A127" s="28">
        <v>30</v>
      </c>
      <c r="B127" s="10"/>
      <c r="C127" s="18" t="s">
        <v>171</v>
      </c>
      <c r="D127" s="13" t="s">
        <v>11</v>
      </c>
      <c r="E127" s="8">
        <f>SUM(E128:E136)</f>
        <v>-5.0000000046566129E-3</v>
      </c>
      <c r="F127" s="8">
        <f>SUM(F128:F136)</f>
        <v>165994.69500000001</v>
      </c>
      <c r="G127" s="8">
        <f t="shared" ref="G127:G136" si="32">E127+F127</f>
        <v>165994.69</v>
      </c>
      <c r="H127" s="8">
        <f>SUM(H128:H136)</f>
        <v>0</v>
      </c>
      <c r="I127" s="8">
        <f>SUM(I128:I136)</f>
        <v>43357.499999999993</v>
      </c>
      <c r="J127" s="8">
        <f t="shared" si="30"/>
        <v>43357.499999999993</v>
      </c>
      <c r="K127" s="8">
        <f>J127/G127*100</f>
        <v>26.119811422883458</v>
      </c>
    </row>
    <row r="128" spans="1:11" ht="58.5" customHeight="1">
      <c r="A128" s="28"/>
      <c r="B128" s="10" t="s">
        <v>72</v>
      </c>
      <c r="C128" s="1" t="s">
        <v>51</v>
      </c>
      <c r="D128" s="28" t="s">
        <v>13</v>
      </c>
      <c r="E128" s="9"/>
      <c r="F128" s="9">
        <f>113792.712+300</f>
        <v>114092.712</v>
      </c>
      <c r="G128" s="8">
        <f t="shared" si="32"/>
        <v>114092.712</v>
      </c>
      <c r="H128" s="8"/>
      <c r="I128" s="9">
        <f>175.7+765.4+1230.1+765.5+132.6+641.8+548.5+1574.2+3312.3+1825.6+4905.8+1014.7+5266.4+5362.9+3142.7</f>
        <v>30664.2</v>
      </c>
      <c r="J128" s="8">
        <f t="shared" ref="J128:J134" si="33">H128+I128</f>
        <v>30664.2</v>
      </c>
      <c r="K128" s="8">
        <f t="shared" si="31"/>
        <v>26.876563333861327</v>
      </c>
    </row>
    <row r="129" spans="1:11" ht="61.5" customHeight="1">
      <c r="A129" s="28"/>
      <c r="B129" s="10" t="s">
        <v>179</v>
      </c>
      <c r="C129" s="1" t="s">
        <v>63</v>
      </c>
      <c r="D129" s="28"/>
      <c r="E129" s="9"/>
      <c r="F129" s="9">
        <v>6000</v>
      </c>
      <c r="G129" s="8">
        <f t="shared" si="32"/>
        <v>6000</v>
      </c>
      <c r="H129" s="8"/>
      <c r="I129" s="9">
        <f>87.3+4912.7</f>
        <v>5000</v>
      </c>
      <c r="J129" s="8">
        <f t="shared" si="33"/>
        <v>5000</v>
      </c>
      <c r="K129" s="8">
        <f t="shared" si="31"/>
        <v>83.333333333333343</v>
      </c>
    </row>
    <row r="130" spans="1:11" ht="64.5" customHeight="1">
      <c r="A130" s="28"/>
      <c r="B130" s="10" t="s">
        <v>180</v>
      </c>
      <c r="C130" s="1" t="s">
        <v>185</v>
      </c>
      <c r="D130" s="1" t="s">
        <v>9</v>
      </c>
      <c r="E130" s="9"/>
      <c r="F130" s="9">
        <f>1695+10000</f>
        <v>11695</v>
      </c>
      <c r="G130" s="8">
        <f t="shared" si="32"/>
        <v>11695</v>
      </c>
      <c r="H130" s="8"/>
      <c r="I130" s="9">
        <f>695+161.7</f>
        <v>856.7</v>
      </c>
      <c r="J130" s="8">
        <f t="shared" si="33"/>
        <v>856.7</v>
      </c>
      <c r="K130" s="8">
        <f t="shared" si="31"/>
        <v>7.3253527148353994</v>
      </c>
    </row>
    <row r="131" spans="1:11" ht="64.5" customHeight="1">
      <c r="A131" s="28"/>
      <c r="B131" s="10" t="s">
        <v>181</v>
      </c>
      <c r="C131" s="1" t="s">
        <v>186</v>
      </c>
      <c r="D131" s="1" t="s">
        <v>1</v>
      </c>
      <c r="E131" s="9"/>
      <c r="F131" s="9">
        <v>17441.802</v>
      </c>
      <c r="G131" s="8">
        <f t="shared" si="32"/>
        <v>17441.802</v>
      </c>
      <c r="H131" s="8"/>
      <c r="I131" s="9">
        <f>618.8+647.5+433.8+70.7+2502.2</f>
        <v>4273</v>
      </c>
      <c r="J131" s="8">
        <f t="shared" si="33"/>
        <v>4273</v>
      </c>
      <c r="K131" s="8">
        <f t="shared" si="31"/>
        <v>24.498615452692331</v>
      </c>
    </row>
    <row r="132" spans="1:11" ht="60.75" customHeight="1">
      <c r="A132" s="28"/>
      <c r="B132" s="10" t="s">
        <v>182</v>
      </c>
      <c r="C132" s="1" t="s">
        <v>185</v>
      </c>
      <c r="D132" s="28" t="s">
        <v>146</v>
      </c>
      <c r="E132" s="9"/>
      <c r="F132" s="9">
        <v>10765.181</v>
      </c>
      <c r="G132" s="8">
        <f t="shared" si="32"/>
        <v>10765.181</v>
      </c>
      <c r="H132" s="8"/>
      <c r="I132" s="8"/>
      <c r="J132" s="8">
        <f t="shared" si="33"/>
        <v>0</v>
      </c>
      <c r="K132" s="8">
        <f t="shared" si="31"/>
        <v>0</v>
      </c>
    </row>
    <row r="133" spans="1:11" ht="54.75" customHeight="1">
      <c r="A133" s="28"/>
      <c r="B133" s="10" t="s">
        <v>143</v>
      </c>
      <c r="C133" s="1" t="s">
        <v>187</v>
      </c>
      <c r="D133" s="28"/>
      <c r="E133" s="9"/>
      <c r="F133" s="9">
        <v>1500</v>
      </c>
      <c r="G133" s="8">
        <f t="shared" si="32"/>
        <v>1500</v>
      </c>
      <c r="H133" s="8"/>
      <c r="I133" s="9">
        <f>97.9</f>
        <v>97.9</v>
      </c>
      <c r="J133" s="8">
        <f t="shared" si="33"/>
        <v>97.9</v>
      </c>
      <c r="K133" s="8">
        <f t="shared" si="31"/>
        <v>6.5266666666666664</v>
      </c>
    </row>
    <row r="134" spans="1:11" ht="57" customHeight="1">
      <c r="A134" s="28"/>
      <c r="B134" s="10" t="s">
        <v>183</v>
      </c>
      <c r="C134" s="1" t="s">
        <v>32</v>
      </c>
      <c r="D134" s="28"/>
      <c r="E134" s="9"/>
      <c r="F134" s="9">
        <v>1500</v>
      </c>
      <c r="G134" s="8">
        <f t="shared" si="32"/>
        <v>1500</v>
      </c>
      <c r="H134" s="8"/>
      <c r="I134" s="9">
        <f>35.6</f>
        <v>35.6</v>
      </c>
      <c r="J134" s="8">
        <f t="shared" si="33"/>
        <v>35.6</v>
      </c>
      <c r="K134" s="8">
        <f t="shared" si="31"/>
        <v>2.3733333333333335</v>
      </c>
    </row>
    <row r="135" spans="1:11" ht="56.25" customHeight="1">
      <c r="A135" s="28"/>
      <c r="B135" s="10" t="s">
        <v>138</v>
      </c>
      <c r="C135" s="23" t="s">
        <v>30</v>
      </c>
      <c r="D135" s="28" t="s">
        <v>21</v>
      </c>
      <c r="E135" s="9">
        <f>153694.695-153694.7</f>
        <v>-5.0000000046566129E-3</v>
      </c>
      <c r="F135" s="9">
        <f>50.1+949.9</f>
        <v>1000</v>
      </c>
      <c r="G135" s="8">
        <f t="shared" si="32"/>
        <v>999.99499999999534</v>
      </c>
      <c r="H135" s="9"/>
      <c r="I135" s="9">
        <f>49.3+8.1+133.7+621.2+87.7+100</f>
        <v>1000.0000000000001</v>
      </c>
      <c r="J135" s="8">
        <f t="shared" ref="J135:J140" si="34">H135+I135</f>
        <v>1000.0000000000001</v>
      </c>
      <c r="K135" s="8">
        <f t="shared" si="31"/>
        <v>100.00050000250049</v>
      </c>
    </row>
    <row r="136" spans="1:11" ht="57" customHeight="1">
      <c r="A136" s="28"/>
      <c r="B136" s="10" t="s">
        <v>178</v>
      </c>
      <c r="C136" s="23" t="s">
        <v>184</v>
      </c>
      <c r="D136" s="28"/>
      <c r="E136" s="9"/>
      <c r="F136" s="9">
        <f>2000</f>
        <v>2000</v>
      </c>
      <c r="G136" s="8">
        <f t="shared" si="32"/>
        <v>2000</v>
      </c>
      <c r="H136" s="9"/>
      <c r="I136" s="9">
        <f>257.7+1172.4</f>
        <v>1430.1000000000001</v>
      </c>
      <c r="J136" s="8">
        <f t="shared" si="34"/>
        <v>1430.1000000000001</v>
      </c>
      <c r="K136" s="8">
        <f t="shared" si="31"/>
        <v>71.50500000000001</v>
      </c>
    </row>
    <row r="137" spans="1:11" ht="78.75" customHeight="1">
      <c r="A137" s="28">
        <v>31</v>
      </c>
      <c r="B137" s="10"/>
      <c r="C137" s="19" t="s">
        <v>211</v>
      </c>
      <c r="D137" s="13" t="s">
        <v>11</v>
      </c>
      <c r="E137" s="8">
        <f>SUM(E138:E139)</f>
        <v>69049.804000000004</v>
      </c>
      <c r="F137" s="8">
        <f>SUM(F138:F139)</f>
        <v>181.8</v>
      </c>
      <c r="G137" s="8">
        <f t="shared" si="29"/>
        <v>69231.604000000007</v>
      </c>
      <c r="H137" s="8">
        <f>SUM(H138:H139)</f>
        <v>50283.940999999999</v>
      </c>
      <c r="I137" s="8">
        <f>SUM(I138:I139)</f>
        <v>181.8</v>
      </c>
      <c r="J137" s="8">
        <f t="shared" si="34"/>
        <v>50465.741000000002</v>
      </c>
      <c r="K137" s="8">
        <f t="shared" si="31"/>
        <v>72.894080281600864</v>
      </c>
    </row>
    <row r="138" spans="1:11" ht="65.25" customHeight="1">
      <c r="A138" s="28"/>
      <c r="B138" s="10">
        <v>3719800</v>
      </c>
      <c r="C138" s="29" t="s">
        <v>63</v>
      </c>
      <c r="D138" s="1" t="s">
        <v>24</v>
      </c>
      <c r="E138" s="9">
        <f>60000+229.804+5340+2000</f>
        <v>67569.804000000004</v>
      </c>
      <c r="F138" s="9">
        <f>21.8+160</f>
        <v>181.8</v>
      </c>
      <c r="G138" s="8">
        <f t="shared" si="29"/>
        <v>67751.604000000007</v>
      </c>
      <c r="H138" s="9">
        <f>7862.9+3000+10.3+229.804+7862.9+8562.9+340+7862.9+6241.323+6677.414+153.5</f>
        <v>48803.940999999999</v>
      </c>
      <c r="I138" s="9">
        <f>21.8+160</f>
        <v>181.8</v>
      </c>
      <c r="J138" s="8">
        <f t="shared" si="34"/>
        <v>48985.741000000002</v>
      </c>
      <c r="K138" s="8">
        <f t="shared" si="31"/>
        <v>72.301964983736767</v>
      </c>
    </row>
    <row r="139" spans="1:11" ht="65.25" customHeight="1">
      <c r="A139" s="1"/>
      <c r="B139" s="10" t="s">
        <v>205</v>
      </c>
      <c r="C139" s="30"/>
      <c r="D139" s="1" t="s">
        <v>15</v>
      </c>
      <c r="E139" s="9">
        <v>1480</v>
      </c>
      <c r="F139" s="9"/>
      <c r="G139" s="8">
        <f t="shared" si="29"/>
        <v>1480</v>
      </c>
      <c r="H139" s="9">
        <v>1480</v>
      </c>
      <c r="I139" s="9"/>
      <c r="J139" s="8">
        <f t="shared" si="34"/>
        <v>1480</v>
      </c>
      <c r="K139" s="8">
        <f t="shared" si="31"/>
        <v>100</v>
      </c>
    </row>
    <row r="140" spans="1:11" ht="36" customHeight="1">
      <c r="A140" s="33" t="s">
        <v>213</v>
      </c>
      <c r="B140" s="33"/>
      <c r="C140" s="33"/>
      <c r="D140" s="33"/>
      <c r="E140" s="8">
        <f>E5+E10+E15+E24+E38+E43+E48+E50+E53+E66+E68++E71+E76+E80+E84+E87+E90+E92+E96+E99+E103+E105+E110+E116+E118+E137+E101+E124+E120+E127+E19</f>
        <v>1949658.2000000002</v>
      </c>
      <c r="F140" s="8">
        <f>F5+F10+F15+F24+F38+F43+F48+F50+F53+F66+F68++F71+F76+F80+F84+F87+F90+F92+F96+F99+F103+F105+F110+F116+F118+F137+F101+F124+F120+F127+F19</f>
        <v>784675.31</v>
      </c>
      <c r="G140" s="8">
        <f t="shared" si="29"/>
        <v>2734333.5100000002</v>
      </c>
      <c r="H140" s="8">
        <f>H5+H10+H15+H24+H38+H43+H48+H50+H53+H66+H68++H71+H76+H80+H84+H87+H90+H92+H96+H99+H103+H105+H110+H116+H118+H137+H101+H19+H120+H124+H127</f>
        <v>960930.50499999977</v>
      </c>
      <c r="I140" s="8">
        <f>I5+I10+I15+I24+I38+I43+I48+I50+I53+I66+I68++I71+I76+I80+I84+I87+I90+I92+I96+I99+I103+I105+I110+I116+I118+I137+I101+I19+I120+I124+I127</f>
        <v>185883.44499999998</v>
      </c>
      <c r="J140" s="8">
        <f t="shared" si="34"/>
        <v>1146813.9499999997</v>
      </c>
      <c r="K140" s="8">
        <f>J140/G140*100</f>
        <v>41.941260852265223</v>
      </c>
    </row>
    <row r="141" spans="1:11">
      <c r="A141" s="2"/>
      <c r="B141" s="6"/>
      <c r="C141" s="4"/>
      <c r="D141" s="2"/>
      <c r="E141" s="2"/>
      <c r="F141" s="2"/>
      <c r="G141" s="2"/>
      <c r="H141" s="2"/>
      <c r="I141" s="2"/>
      <c r="J141" s="2"/>
      <c r="K141" s="2"/>
    </row>
    <row r="142" spans="1:11">
      <c r="A142" s="2"/>
      <c r="B142" s="6"/>
      <c r="C142" s="4"/>
      <c r="D142" s="2"/>
      <c r="E142" s="16"/>
      <c r="F142" s="15"/>
      <c r="G142" s="15"/>
      <c r="H142" s="2"/>
      <c r="I142" s="2"/>
      <c r="J142" s="2"/>
      <c r="K142" s="2"/>
    </row>
    <row r="143" spans="1:11">
      <c r="A143" s="2"/>
      <c r="B143" s="6"/>
      <c r="C143" s="4"/>
      <c r="D143" s="2"/>
      <c r="E143" s="2"/>
      <c r="F143" s="2"/>
      <c r="G143" s="2"/>
      <c r="H143" s="2"/>
      <c r="I143" s="2"/>
      <c r="J143" s="2"/>
      <c r="K143" s="2"/>
    </row>
    <row r="144" spans="1:11">
      <c r="A144" s="2"/>
      <c r="B144" s="6"/>
      <c r="C144" s="4"/>
      <c r="D144" s="2"/>
      <c r="E144" s="2"/>
      <c r="F144" s="2"/>
      <c r="G144" s="2"/>
      <c r="H144" s="2"/>
      <c r="I144" s="2"/>
      <c r="J144" s="2"/>
      <c r="K144" s="2"/>
    </row>
    <row r="145" spans="1:11">
      <c r="A145" s="2"/>
      <c r="B145" s="6"/>
      <c r="C145" s="4"/>
      <c r="D145" s="2"/>
      <c r="E145" s="2"/>
      <c r="F145" s="2"/>
      <c r="G145" s="2"/>
      <c r="H145" s="2"/>
      <c r="I145" s="2"/>
      <c r="J145" s="2"/>
      <c r="K145" s="2"/>
    </row>
    <row r="146" spans="1:11">
      <c r="A146" s="2"/>
      <c r="B146" s="6"/>
      <c r="C146" s="4"/>
      <c r="D146" s="2"/>
      <c r="E146" s="2"/>
      <c r="F146" s="2"/>
      <c r="G146" s="2"/>
      <c r="H146" s="2"/>
      <c r="I146" s="2"/>
      <c r="J146" s="2"/>
      <c r="K146" s="2"/>
    </row>
    <row r="147" spans="1:11">
      <c r="A147" s="2"/>
      <c r="B147" s="6"/>
      <c r="C147" s="4"/>
      <c r="D147" s="2"/>
      <c r="E147" s="2"/>
      <c r="F147" s="2"/>
      <c r="G147" s="2"/>
      <c r="H147" s="2"/>
      <c r="I147" s="2"/>
      <c r="J147" s="2"/>
      <c r="K147" s="2"/>
    </row>
    <row r="148" spans="1:11">
      <c r="A148" s="2"/>
      <c r="B148" s="6"/>
      <c r="C148" s="4"/>
      <c r="D148" s="2"/>
      <c r="E148" s="2"/>
      <c r="F148" s="2"/>
      <c r="G148" s="2"/>
      <c r="H148" s="2"/>
      <c r="I148" s="2"/>
      <c r="J148" s="2"/>
      <c r="K148" s="2"/>
    </row>
    <row r="149" spans="1:11">
      <c r="A149" s="2"/>
      <c r="B149" s="6"/>
      <c r="C149" s="4"/>
      <c r="D149" s="2"/>
      <c r="E149" s="2"/>
      <c r="F149" s="2"/>
      <c r="G149" s="2"/>
      <c r="H149" s="2"/>
      <c r="I149" s="2"/>
      <c r="J149" s="2"/>
      <c r="K149" s="2"/>
    </row>
    <row r="150" spans="1:11">
      <c r="A150" s="2"/>
      <c r="B150" s="6"/>
      <c r="C150" s="4"/>
      <c r="D150" s="2"/>
      <c r="E150" s="2"/>
      <c r="F150" s="2"/>
      <c r="G150" s="2"/>
      <c r="H150" s="2"/>
      <c r="I150" s="2"/>
      <c r="J150" s="2"/>
      <c r="K150" s="2"/>
    </row>
    <row r="151" spans="1:11">
      <c r="A151" s="2"/>
      <c r="B151" s="6"/>
      <c r="C151" s="4"/>
      <c r="D151" s="2"/>
      <c r="E151" s="2"/>
      <c r="F151" s="2"/>
      <c r="G151" s="2"/>
      <c r="H151" s="2"/>
      <c r="I151" s="2"/>
      <c r="J151" s="2"/>
      <c r="K151" s="2"/>
    </row>
    <row r="152" spans="1:11">
      <c r="A152" s="2"/>
      <c r="B152" s="6"/>
      <c r="C152" s="4"/>
      <c r="D152" s="2"/>
      <c r="E152" s="2"/>
      <c r="F152" s="2"/>
      <c r="G152" s="2"/>
      <c r="H152" s="2"/>
      <c r="I152" s="2"/>
      <c r="J152" s="2"/>
      <c r="K152" s="2"/>
    </row>
    <row r="153" spans="1:11">
      <c r="A153" s="2"/>
      <c r="B153" s="6"/>
      <c r="C153" s="4"/>
      <c r="D153" s="2"/>
      <c r="E153" s="2"/>
      <c r="F153" s="2"/>
      <c r="G153" s="2"/>
      <c r="H153" s="2"/>
      <c r="I153" s="2"/>
      <c r="J153" s="2"/>
      <c r="K153" s="2"/>
    </row>
    <row r="154" spans="1:11">
      <c r="A154" s="2"/>
      <c r="B154" s="6"/>
      <c r="C154" s="4"/>
      <c r="D154" s="2"/>
      <c r="E154" s="2"/>
      <c r="F154" s="2"/>
      <c r="G154" s="2"/>
      <c r="H154" s="2"/>
      <c r="I154" s="2"/>
      <c r="J154" s="2"/>
      <c r="K154" s="2"/>
    </row>
    <row r="155" spans="1:11">
      <c r="A155" s="2"/>
      <c r="B155" s="6"/>
      <c r="C155" s="4"/>
      <c r="D155" s="2"/>
      <c r="E155" s="2"/>
      <c r="F155" s="2"/>
      <c r="G155" s="2"/>
      <c r="H155" s="2"/>
      <c r="I155" s="2"/>
      <c r="J155" s="2"/>
      <c r="K155" s="2"/>
    </row>
    <row r="156" spans="1:11">
      <c r="A156" s="2"/>
      <c r="B156" s="6"/>
      <c r="C156" s="4"/>
      <c r="D156" s="2"/>
      <c r="E156" s="2"/>
      <c r="F156" s="2"/>
      <c r="G156" s="2"/>
      <c r="H156" s="2"/>
      <c r="I156" s="2"/>
      <c r="J156" s="2"/>
      <c r="K156" s="2"/>
    </row>
    <row r="157" spans="1:11">
      <c r="A157" s="2"/>
      <c r="B157" s="6"/>
      <c r="C157" s="4"/>
      <c r="D157" s="2"/>
      <c r="E157" s="2"/>
      <c r="F157" s="2"/>
      <c r="G157" s="2"/>
      <c r="H157" s="2"/>
      <c r="I157" s="2"/>
      <c r="J157" s="2"/>
      <c r="K157" s="2"/>
    </row>
    <row r="158" spans="1:11">
      <c r="A158" s="2"/>
      <c r="B158" s="6"/>
      <c r="C158" s="4"/>
      <c r="D158" s="2"/>
      <c r="E158" s="2"/>
      <c r="F158" s="2"/>
      <c r="G158" s="2"/>
      <c r="H158" s="2"/>
      <c r="I158" s="2"/>
      <c r="J158" s="2"/>
      <c r="K158" s="2"/>
    </row>
    <row r="159" spans="1:11">
      <c r="A159" s="2"/>
      <c r="B159" s="6"/>
      <c r="C159" s="4"/>
      <c r="D159" s="2"/>
      <c r="E159" s="2"/>
      <c r="F159" s="2"/>
      <c r="G159" s="2"/>
      <c r="H159" s="2"/>
      <c r="I159" s="2"/>
      <c r="J159" s="2"/>
      <c r="K159" s="2"/>
    </row>
    <row r="160" spans="1:11">
      <c r="A160" s="2"/>
      <c r="B160" s="6"/>
      <c r="C160" s="4"/>
      <c r="D160" s="2"/>
      <c r="E160" s="2"/>
      <c r="F160" s="2"/>
      <c r="G160" s="2"/>
      <c r="H160" s="2"/>
      <c r="I160" s="2"/>
      <c r="J160" s="2"/>
      <c r="K160" s="2"/>
    </row>
    <row r="161" spans="1:11">
      <c r="A161" s="2"/>
      <c r="B161" s="6"/>
      <c r="C161" s="4"/>
      <c r="D161" s="2"/>
      <c r="E161" s="2"/>
      <c r="F161" s="2"/>
      <c r="G161" s="2"/>
      <c r="H161" s="2"/>
      <c r="I161" s="2"/>
      <c r="J161" s="2"/>
      <c r="K161" s="2"/>
    </row>
    <row r="162" spans="1:11">
      <c r="A162" s="2"/>
      <c r="B162" s="6"/>
      <c r="C162" s="4"/>
      <c r="D162" s="2"/>
      <c r="E162" s="2"/>
      <c r="F162" s="2"/>
      <c r="G162" s="2"/>
      <c r="H162" s="2"/>
      <c r="I162" s="2"/>
      <c r="J162" s="2"/>
      <c r="K162" s="2"/>
    </row>
    <row r="163" spans="1:11">
      <c r="A163" s="2"/>
      <c r="B163" s="6"/>
      <c r="C163" s="4"/>
      <c r="D163" s="2"/>
      <c r="E163" s="2"/>
      <c r="F163" s="2"/>
      <c r="G163" s="2"/>
      <c r="H163" s="2"/>
      <c r="I163" s="2"/>
      <c r="J163" s="2"/>
      <c r="K163" s="2"/>
    </row>
    <row r="164" spans="1:11">
      <c r="A164" s="2"/>
      <c r="B164" s="6"/>
      <c r="C164" s="4"/>
      <c r="D164" s="2"/>
      <c r="E164" s="2"/>
      <c r="F164" s="2"/>
      <c r="G164" s="2"/>
      <c r="H164" s="2"/>
      <c r="I164" s="2"/>
      <c r="J164" s="2"/>
      <c r="K164" s="2"/>
    </row>
    <row r="165" spans="1:11">
      <c r="A165" s="2"/>
      <c r="B165" s="6"/>
      <c r="C165" s="4"/>
      <c r="D165" s="2"/>
      <c r="E165" s="2"/>
      <c r="F165" s="2"/>
      <c r="G165" s="2"/>
      <c r="H165" s="2"/>
      <c r="I165" s="2"/>
      <c r="J165" s="2"/>
      <c r="K165" s="2"/>
    </row>
    <row r="166" spans="1:11">
      <c r="A166" s="2"/>
      <c r="B166" s="6"/>
      <c r="C166" s="4"/>
      <c r="D166" s="2"/>
      <c r="E166" s="2"/>
      <c r="F166" s="2"/>
      <c r="G166" s="2"/>
      <c r="H166" s="2"/>
      <c r="I166" s="2"/>
      <c r="J166" s="2"/>
      <c r="K166" s="2"/>
    </row>
    <row r="167" spans="1:11">
      <c r="A167" s="2"/>
      <c r="B167" s="6"/>
      <c r="C167" s="4"/>
      <c r="D167" s="2"/>
      <c r="E167" s="2"/>
      <c r="F167" s="2"/>
      <c r="G167" s="2"/>
      <c r="H167" s="2"/>
      <c r="I167" s="2"/>
      <c r="J167" s="2"/>
      <c r="K167" s="2"/>
    </row>
    <row r="168" spans="1:11">
      <c r="A168" s="2"/>
      <c r="B168" s="6"/>
      <c r="C168" s="4"/>
      <c r="D168" s="2"/>
      <c r="E168" s="2"/>
      <c r="F168" s="2"/>
      <c r="G168" s="2"/>
      <c r="H168" s="2"/>
      <c r="I168" s="2"/>
      <c r="J168" s="2"/>
      <c r="K168" s="2"/>
    </row>
    <row r="169" spans="1:11">
      <c r="A169" s="2"/>
      <c r="B169" s="6"/>
      <c r="C169" s="4"/>
      <c r="D169" s="2"/>
      <c r="E169" s="2"/>
      <c r="F169" s="2"/>
      <c r="G169" s="2"/>
      <c r="H169" s="2"/>
      <c r="I169" s="2"/>
      <c r="J169" s="2"/>
      <c r="K169" s="2"/>
    </row>
    <row r="170" spans="1:11">
      <c r="A170" s="2"/>
      <c r="B170" s="6"/>
      <c r="C170" s="4"/>
      <c r="D170" s="2"/>
      <c r="E170" s="2"/>
      <c r="F170" s="2"/>
      <c r="G170" s="2"/>
      <c r="H170" s="2"/>
      <c r="I170" s="2"/>
      <c r="J170" s="2"/>
      <c r="K170" s="2"/>
    </row>
    <row r="171" spans="1:11">
      <c r="A171" s="2"/>
      <c r="B171" s="6"/>
      <c r="C171" s="4"/>
      <c r="D171" s="2"/>
      <c r="E171" s="2"/>
      <c r="F171" s="2"/>
      <c r="G171" s="2"/>
      <c r="H171" s="2"/>
      <c r="I171" s="2"/>
      <c r="J171" s="2"/>
      <c r="K171" s="2"/>
    </row>
    <row r="172" spans="1:11">
      <c r="A172" s="2"/>
      <c r="B172" s="6"/>
      <c r="C172" s="4"/>
      <c r="D172" s="2"/>
      <c r="E172" s="2"/>
      <c r="F172" s="2"/>
      <c r="G172" s="2"/>
      <c r="H172" s="2"/>
      <c r="I172" s="2"/>
      <c r="J172" s="2"/>
      <c r="K172" s="2"/>
    </row>
    <row r="173" spans="1:11">
      <c r="A173" s="2"/>
      <c r="B173" s="6"/>
      <c r="C173" s="4"/>
      <c r="D173" s="2"/>
      <c r="E173" s="2"/>
      <c r="F173" s="2"/>
      <c r="G173" s="2"/>
      <c r="H173" s="2"/>
      <c r="I173" s="2"/>
      <c r="J173" s="2"/>
      <c r="K173" s="2"/>
    </row>
    <row r="174" spans="1:11">
      <c r="A174" s="2"/>
      <c r="B174" s="6"/>
      <c r="C174" s="4"/>
      <c r="D174" s="2"/>
      <c r="E174" s="2"/>
      <c r="F174" s="2"/>
      <c r="G174" s="2"/>
      <c r="H174" s="2"/>
      <c r="I174" s="2"/>
      <c r="J174" s="2"/>
      <c r="K174" s="2"/>
    </row>
    <row r="175" spans="1:11">
      <c r="A175" s="2"/>
      <c r="B175" s="6"/>
      <c r="C175" s="4"/>
      <c r="D175" s="2"/>
      <c r="E175" s="2"/>
      <c r="F175" s="2"/>
      <c r="G175" s="2"/>
      <c r="H175" s="2"/>
      <c r="I175" s="2"/>
      <c r="J175" s="2"/>
      <c r="K175" s="2"/>
    </row>
    <row r="176" spans="1:11">
      <c r="A176" s="2"/>
      <c r="B176" s="6"/>
      <c r="C176" s="4"/>
      <c r="D176" s="2"/>
      <c r="E176" s="2"/>
      <c r="F176" s="2"/>
      <c r="G176" s="2"/>
      <c r="H176" s="2"/>
      <c r="I176" s="2"/>
      <c r="J176" s="2"/>
      <c r="K176" s="2"/>
    </row>
    <row r="177" spans="1:11">
      <c r="A177" s="2"/>
      <c r="B177" s="6"/>
      <c r="C177" s="4"/>
      <c r="D177" s="2"/>
      <c r="E177" s="2"/>
      <c r="F177" s="2"/>
      <c r="G177" s="2"/>
      <c r="H177" s="2"/>
      <c r="I177" s="2"/>
      <c r="J177" s="2"/>
      <c r="K177" s="2"/>
    </row>
    <row r="178" spans="1:11">
      <c r="A178" s="2"/>
      <c r="B178" s="6"/>
      <c r="C178" s="4"/>
      <c r="D178" s="2"/>
      <c r="E178" s="2"/>
      <c r="F178" s="2"/>
      <c r="G178" s="2"/>
      <c r="H178" s="2"/>
      <c r="I178" s="2"/>
      <c r="J178" s="2"/>
      <c r="K178" s="2"/>
    </row>
    <row r="179" spans="1:11">
      <c r="A179" s="2"/>
      <c r="B179" s="6"/>
      <c r="C179" s="4"/>
      <c r="D179" s="2"/>
      <c r="E179" s="2"/>
      <c r="F179" s="2"/>
      <c r="G179" s="2"/>
      <c r="H179" s="2"/>
      <c r="I179" s="2"/>
      <c r="J179" s="2"/>
      <c r="K179" s="2"/>
    </row>
    <row r="180" spans="1:11">
      <c r="A180" s="2"/>
      <c r="B180" s="6"/>
      <c r="C180" s="4"/>
      <c r="D180" s="2"/>
      <c r="E180" s="2"/>
      <c r="F180" s="2"/>
      <c r="G180" s="2"/>
      <c r="H180" s="2"/>
      <c r="I180" s="2"/>
      <c r="J180" s="2"/>
      <c r="K180" s="2"/>
    </row>
    <row r="181" spans="1:11">
      <c r="A181" s="2"/>
      <c r="B181" s="6"/>
      <c r="C181" s="4"/>
      <c r="D181" s="2"/>
      <c r="E181" s="2"/>
      <c r="F181" s="2"/>
      <c r="G181" s="2"/>
      <c r="H181" s="2"/>
      <c r="I181" s="2"/>
      <c r="J181" s="2"/>
      <c r="K181" s="2"/>
    </row>
    <row r="182" spans="1:11">
      <c r="A182" s="2"/>
      <c r="B182" s="6"/>
      <c r="C182" s="4"/>
      <c r="D182" s="2"/>
      <c r="E182" s="2"/>
      <c r="F182" s="2"/>
      <c r="G182" s="2"/>
      <c r="H182" s="2"/>
      <c r="I182" s="2"/>
      <c r="J182" s="2"/>
      <c r="K182" s="2"/>
    </row>
    <row r="183" spans="1:11">
      <c r="A183" s="2"/>
      <c r="B183" s="6"/>
      <c r="C183" s="4"/>
      <c r="D183" s="2"/>
      <c r="E183" s="2"/>
      <c r="F183" s="2"/>
      <c r="G183" s="2"/>
      <c r="H183" s="2"/>
      <c r="I183" s="2"/>
      <c r="J183" s="2"/>
      <c r="K183" s="2"/>
    </row>
    <row r="184" spans="1:11">
      <c r="A184" s="2"/>
      <c r="B184" s="6"/>
      <c r="C184" s="4"/>
      <c r="D184" s="2"/>
      <c r="E184" s="2"/>
      <c r="F184" s="2"/>
      <c r="G184" s="2"/>
      <c r="H184" s="2"/>
      <c r="I184" s="2"/>
      <c r="J184" s="2"/>
      <c r="K184" s="2"/>
    </row>
    <row r="185" spans="1:11">
      <c r="A185" s="2"/>
      <c r="B185" s="6"/>
      <c r="C185" s="4"/>
      <c r="D185" s="2"/>
      <c r="E185" s="2"/>
      <c r="F185" s="2"/>
      <c r="G185" s="2"/>
      <c r="H185" s="2"/>
      <c r="I185" s="2"/>
      <c r="J185" s="2"/>
      <c r="K185" s="2"/>
    </row>
    <row r="186" spans="1:11">
      <c r="A186" s="2"/>
      <c r="B186" s="6"/>
      <c r="C186" s="4"/>
      <c r="D186" s="2"/>
      <c r="E186" s="2"/>
      <c r="F186" s="2"/>
      <c r="G186" s="2"/>
      <c r="H186" s="2"/>
      <c r="I186" s="2"/>
      <c r="J186" s="2"/>
      <c r="K186" s="2"/>
    </row>
    <row r="187" spans="1:11">
      <c r="A187" s="2"/>
      <c r="B187" s="6"/>
      <c r="C187" s="4"/>
      <c r="D187" s="2"/>
      <c r="E187" s="2"/>
      <c r="F187" s="2"/>
      <c r="G187" s="2"/>
      <c r="H187" s="2"/>
      <c r="I187" s="2"/>
      <c r="J187" s="2"/>
      <c r="K187" s="2"/>
    </row>
    <row r="188" spans="1:11">
      <c r="A188" s="2"/>
      <c r="B188" s="6"/>
      <c r="C188" s="4"/>
      <c r="D188" s="2"/>
      <c r="E188" s="2"/>
      <c r="F188" s="2"/>
      <c r="G188" s="2"/>
      <c r="H188" s="2"/>
      <c r="I188" s="2"/>
      <c r="J188" s="2"/>
      <c r="K188" s="2"/>
    </row>
    <row r="189" spans="1:11">
      <c r="A189" s="2"/>
      <c r="B189" s="6"/>
      <c r="C189" s="4"/>
      <c r="D189" s="2"/>
      <c r="E189" s="2"/>
      <c r="F189" s="2"/>
      <c r="G189" s="2"/>
      <c r="H189" s="2"/>
      <c r="I189" s="2"/>
      <c r="J189" s="2"/>
      <c r="K189" s="2"/>
    </row>
    <row r="190" spans="1:11">
      <c r="A190" s="2"/>
      <c r="B190" s="6"/>
      <c r="C190" s="4"/>
      <c r="D190" s="2"/>
      <c r="E190" s="2"/>
      <c r="F190" s="2"/>
      <c r="G190" s="2"/>
      <c r="H190" s="2"/>
      <c r="I190" s="2"/>
      <c r="J190" s="2"/>
      <c r="K190" s="2"/>
    </row>
  </sheetData>
  <mergeCells count="65">
    <mergeCell ref="D135:D136"/>
    <mergeCell ref="D128:D129"/>
    <mergeCell ref="A110:A115"/>
    <mergeCell ref="D132:D134"/>
    <mergeCell ref="D106:D109"/>
    <mergeCell ref="D93:D95"/>
    <mergeCell ref="B3:B4"/>
    <mergeCell ref="A3:A4"/>
    <mergeCell ref="C3:C4"/>
    <mergeCell ref="D3:D4"/>
    <mergeCell ref="C138:C139"/>
    <mergeCell ref="D111:D114"/>
    <mergeCell ref="A116:A117"/>
    <mergeCell ref="A99:A100"/>
    <mergeCell ref="A103:A104"/>
    <mergeCell ref="D125:D126"/>
    <mergeCell ref="A124:A126"/>
    <mergeCell ref="A120:A123"/>
    <mergeCell ref="D121:D123"/>
    <mergeCell ref="H3:J3"/>
    <mergeCell ref="K3:K4"/>
    <mergeCell ref="E3:G3"/>
    <mergeCell ref="A105:A109"/>
    <mergeCell ref="D88:D89"/>
    <mergeCell ref="D8:D9"/>
    <mergeCell ref="A118:A119"/>
    <mergeCell ref="A127:A136"/>
    <mergeCell ref="A137:A138"/>
    <mergeCell ref="A5:A9"/>
    <mergeCell ref="A10:A14"/>
    <mergeCell ref="A38:A42"/>
    <mergeCell ref="A101:A102"/>
    <mergeCell ref="A87:A89"/>
    <mergeCell ref="A90:A91"/>
    <mergeCell ref="A92:A95"/>
    <mergeCell ref="A140:D140"/>
    <mergeCell ref="A53:A64"/>
    <mergeCell ref="A19:A23"/>
    <mergeCell ref="D51:D52"/>
    <mergeCell ref="D21:D22"/>
    <mergeCell ref="D25:D36"/>
    <mergeCell ref="A43:A47"/>
    <mergeCell ref="D44:D46"/>
    <mergeCell ref="A24:A35"/>
    <mergeCell ref="D39:D42"/>
    <mergeCell ref="A1:J1"/>
    <mergeCell ref="D2:E2"/>
    <mergeCell ref="A71:A75"/>
    <mergeCell ref="A48:A49"/>
    <mergeCell ref="A50:A52"/>
    <mergeCell ref="D54:D64"/>
    <mergeCell ref="A66:A67"/>
    <mergeCell ref="D12:D14"/>
    <mergeCell ref="A15:A18"/>
    <mergeCell ref="D16:D18"/>
    <mergeCell ref="A96:A98"/>
    <mergeCell ref="A68:A70"/>
    <mergeCell ref="A76:A79"/>
    <mergeCell ref="D72:D73"/>
    <mergeCell ref="D77:D79"/>
    <mergeCell ref="A84:A86"/>
    <mergeCell ref="A80:A83"/>
    <mergeCell ref="D85:D86"/>
    <mergeCell ref="D81:D83"/>
    <mergeCell ref="D97:D98"/>
  </mergeCells>
  <phoneticPr fontId="37" type="noConversion"/>
  <printOptions horizontalCentered="1"/>
  <pageMargins left="0.15748031496062992" right="0.15748031496062992" top="0.23622047244094491" bottom="0.19685039370078741" header="0.23622047244094491" footer="0.1574803149606299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>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budget-v</dc:creator>
  <cp:lastModifiedBy>aoi-mariya</cp:lastModifiedBy>
  <cp:lastPrinted>2023-07-07T09:58:06Z</cp:lastPrinted>
  <dcterms:created xsi:type="dcterms:W3CDTF">2019-01-30T14:30:49Z</dcterms:created>
  <dcterms:modified xsi:type="dcterms:W3CDTF">2023-07-10T07:44:49Z</dcterms:modified>
</cp:coreProperties>
</file>