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6" windowHeight="9732"/>
  </bookViews>
  <sheets>
    <sheet name="Лист1 (2)" sheetId="4" r:id="rId1"/>
  </sheets>
  <definedNames>
    <definedName name="_xlnm._FilterDatabase" localSheetId="0" hidden="1">'Лист1 (2)'!$A$3:$K$4</definedName>
    <definedName name="_xlnm.Print_Titles" localSheetId="0">'Лист1 (2)'!$3:$4</definedName>
    <definedName name="_xlnm.Print_Area" localSheetId="0">'Лист1 (2)'!$A$1:$K$128</definedName>
  </definedNames>
  <calcPr calcId="124519" fullCalcOnLoad="1"/>
</workbook>
</file>

<file path=xl/calcChain.xml><?xml version="1.0" encoding="utf-8"?>
<calcChain xmlns="http://schemas.openxmlformats.org/spreadsheetml/2006/main">
  <c r="H21" i="4"/>
  <c r="J21" s="1"/>
  <c r="K21" s="1"/>
  <c r="I21"/>
  <c r="F21"/>
  <c r="G21" s="1"/>
  <c r="F16"/>
  <c r="F15"/>
  <c r="E16"/>
  <c r="E15"/>
  <c r="H6"/>
  <c r="H7"/>
  <c r="J7" s="1"/>
  <c r="K7" s="1"/>
  <c r="H8"/>
  <c r="H5"/>
  <c r="J5" s="1"/>
  <c r="I5"/>
  <c r="E5"/>
  <c r="G5" s="1"/>
  <c r="F5"/>
  <c r="H13"/>
  <c r="H9" s="1"/>
  <c r="H14"/>
  <c r="I9"/>
  <c r="E9"/>
  <c r="F9"/>
  <c r="G9" s="1"/>
  <c r="H16"/>
  <c r="H15" s="1"/>
  <c r="J15" s="1"/>
  <c r="K15" s="1"/>
  <c r="H19"/>
  <c r="I16"/>
  <c r="I15" s="1"/>
  <c r="G15"/>
  <c r="H25"/>
  <c r="H22" s="1"/>
  <c r="J22" s="1"/>
  <c r="K22" s="1"/>
  <c r="I22"/>
  <c r="E25"/>
  <c r="E22"/>
  <c r="G22" s="1"/>
  <c r="F22"/>
  <c r="H29"/>
  <c r="H30"/>
  <c r="H28" s="1"/>
  <c r="J28" s="1"/>
  <c r="I28"/>
  <c r="E28"/>
  <c r="G28" s="1"/>
  <c r="F28"/>
  <c r="J32"/>
  <c r="G32"/>
  <c r="K32" s="1"/>
  <c r="H34"/>
  <c r="H33" s="1"/>
  <c r="J33" s="1"/>
  <c r="K33" s="1"/>
  <c r="I33"/>
  <c r="E33"/>
  <c r="F33"/>
  <c r="G33" s="1"/>
  <c r="H37"/>
  <c r="J37" s="1"/>
  <c r="K37" s="1"/>
  <c r="H41"/>
  <c r="I36"/>
  <c r="E36"/>
  <c r="G36" s="1"/>
  <c r="F36"/>
  <c r="H45"/>
  <c r="J45" s="1"/>
  <c r="F45"/>
  <c r="G45" s="1"/>
  <c r="H46"/>
  <c r="J46" s="1"/>
  <c r="K46" s="1"/>
  <c r="F46"/>
  <c r="G46" s="1"/>
  <c r="J47"/>
  <c r="G47"/>
  <c r="K47"/>
  <c r="T47" s="1"/>
  <c r="H48"/>
  <c r="J48" s="1"/>
  <c r="E48"/>
  <c r="G48" s="1"/>
  <c r="H49"/>
  <c r="I56"/>
  <c r="I49" s="1"/>
  <c r="E49"/>
  <c r="G49" s="1"/>
  <c r="F49"/>
  <c r="H58"/>
  <c r="I58"/>
  <c r="J58" s="1"/>
  <c r="E59"/>
  <c r="E58" s="1"/>
  <c r="F59"/>
  <c r="F58" s="1"/>
  <c r="H65"/>
  <c r="J65" s="1"/>
  <c r="K65" s="1"/>
  <c r="I65"/>
  <c r="E68"/>
  <c r="E65" s="1"/>
  <c r="G65" s="1"/>
  <c r="F65"/>
  <c r="H71"/>
  <c r="J71" s="1"/>
  <c r="I71"/>
  <c r="E71"/>
  <c r="G71" s="1"/>
  <c r="F71"/>
  <c r="H76"/>
  <c r="H74" s="1"/>
  <c r="J74" s="1"/>
  <c r="H82"/>
  <c r="I74"/>
  <c r="E76"/>
  <c r="E75"/>
  <c r="E74" s="1"/>
  <c r="G74" s="1"/>
  <c r="F76"/>
  <c r="F74" s="1"/>
  <c r="F77"/>
  <c r="F75"/>
  <c r="H83"/>
  <c r="J83"/>
  <c r="K83" s="1"/>
  <c r="G83"/>
  <c r="H84"/>
  <c r="J84" s="1"/>
  <c r="K84" s="1"/>
  <c r="G84"/>
  <c r="H85"/>
  <c r="I89"/>
  <c r="I85" s="1"/>
  <c r="J85" s="1"/>
  <c r="E85"/>
  <c r="F86"/>
  <c r="F85" s="1"/>
  <c r="G85" s="1"/>
  <c r="H91"/>
  <c r="H90"/>
  <c r="I90"/>
  <c r="J90"/>
  <c r="E90"/>
  <c r="F90"/>
  <c r="G90" s="1"/>
  <c r="H94"/>
  <c r="H93" s="1"/>
  <c r="J93" s="1"/>
  <c r="I93"/>
  <c r="E93"/>
  <c r="G93" s="1"/>
  <c r="F93"/>
  <c r="H97"/>
  <c r="J97"/>
  <c r="K97" s="1"/>
  <c r="G97"/>
  <c r="H99"/>
  <c r="J99" s="1"/>
  <c r="K99" s="1"/>
  <c r="I100"/>
  <c r="I98" s="1"/>
  <c r="E98"/>
  <c r="F100"/>
  <c r="F98" s="1"/>
  <c r="G98" s="1"/>
  <c r="H105"/>
  <c r="H108"/>
  <c r="J108" s="1"/>
  <c r="K108" s="1"/>
  <c r="H107"/>
  <c r="I108"/>
  <c r="I104" s="1"/>
  <c r="E104"/>
  <c r="G104" s="1"/>
  <c r="F108"/>
  <c r="F104"/>
  <c r="H109"/>
  <c r="J109" s="1"/>
  <c r="I109"/>
  <c r="E109"/>
  <c r="G109" s="1"/>
  <c r="F109"/>
  <c r="H112"/>
  <c r="J112" s="1"/>
  <c r="I112"/>
  <c r="E113"/>
  <c r="E112" s="1"/>
  <c r="E126"/>
  <c r="G126" s="1"/>
  <c r="F121"/>
  <c r="G121" s="1"/>
  <c r="H127"/>
  <c r="J127"/>
  <c r="K127" s="1"/>
  <c r="G127"/>
  <c r="G18"/>
  <c r="J18"/>
  <c r="K18" s="1"/>
  <c r="J64"/>
  <c r="K64" s="1"/>
  <c r="G64"/>
  <c r="J63"/>
  <c r="K63" s="1"/>
  <c r="G63"/>
  <c r="J103"/>
  <c r="K103" s="1"/>
  <c r="G103"/>
  <c r="J102"/>
  <c r="K102" s="1"/>
  <c r="G102"/>
  <c r="J100"/>
  <c r="G99"/>
  <c r="J82"/>
  <c r="K82" s="1"/>
  <c r="G82"/>
  <c r="J41"/>
  <c r="J75"/>
  <c r="G75"/>
  <c r="K75" s="1"/>
  <c r="J89"/>
  <c r="K89" s="1"/>
  <c r="G89"/>
  <c r="J86"/>
  <c r="G86"/>
  <c r="K86" s="1"/>
  <c r="J59"/>
  <c r="K59" s="1"/>
  <c r="G59"/>
  <c r="J62"/>
  <c r="G62"/>
  <c r="K62" s="1"/>
  <c r="J95"/>
  <c r="K95" s="1"/>
  <c r="J96"/>
  <c r="K96" s="1"/>
  <c r="G95"/>
  <c r="G96"/>
  <c r="J76"/>
  <c r="K76" s="1"/>
  <c r="G16"/>
  <c r="J16"/>
  <c r="K16" s="1"/>
  <c r="J6"/>
  <c r="K6" s="1"/>
  <c r="J126"/>
  <c r="K126" s="1"/>
  <c r="J125"/>
  <c r="G125"/>
  <c r="K125" s="1"/>
  <c r="J124"/>
  <c r="K124" s="1"/>
  <c r="G124"/>
  <c r="J123"/>
  <c r="G123"/>
  <c r="K123" s="1"/>
  <c r="J122"/>
  <c r="K122" s="1"/>
  <c r="G122"/>
  <c r="J121"/>
  <c r="J120"/>
  <c r="K120" s="1"/>
  <c r="G120"/>
  <c r="J113"/>
  <c r="G113"/>
  <c r="K113" s="1"/>
  <c r="J52"/>
  <c r="J56"/>
  <c r="J57"/>
  <c r="G57"/>
  <c r="K57"/>
  <c r="G56"/>
  <c r="K56"/>
  <c r="G52"/>
  <c r="H42"/>
  <c r="I42"/>
  <c r="J42"/>
  <c r="E42"/>
  <c r="F42"/>
  <c r="G42" s="1"/>
  <c r="J110"/>
  <c r="K110" s="1"/>
  <c r="G110"/>
  <c r="G108"/>
  <c r="G107"/>
  <c r="G106"/>
  <c r="J107"/>
  <c r="K107" s="1"/>
  <c r="J106"/>
  <c r="K106"/>
  <c r="J105"/>
  <c r="K105" s="1"/>
  <c r="G105"/>
  <c r="J94"/>
  <c r="K94" s="1"/>
  <c r="G94"/>
  <c r="J91"/>
  <c r="K91" s="1"/>
  <c r="G91"/>
  <c r="G76"/>
  <c r="J69"/>
  <c r="K69" s="1"/>
  <c r="G69"/>
  <c r="J66"/>
  <c r="G66"/>
  <c r="K66" s="1"/>
  <c r="K52"/>
  <c r="J34"/>
  <c r="K34" s="1"/>
  <c r="G34"/>
  <c r="G37"/>
  <c r="J38"/>
  <c r="K38" s="1"/>
  <c r="G38"/>
  <c r="J39"/>
  <c r="G39"/>
  <c r="K39" s="1"/>
  <c r="J40"/>
  <c r="K40" s="1"/>
  <c r="G40"/>
  <c r="G41"/>
  <c r="K41"/>
  <c r="J31"/>
  <c r="G31"/>
  <c r="K31" s="1"/>
  <c r="J30"/>
  <c r="G30"/>
  <c r="K30"/>
  <c r="J29"/>
  <c r="G29"/>
  <c r="K29" s="1"/>
  <c r="J27"/>
  <c r="G27"/>
  <c r="K27"/>
  <c r="J26"/>
  <c r="G26"/>
  <c r="K26" s="1"/>
  <c r="J25"/>
  <c r="G25"/>
  <c r="K25"/>
  <c r="J23"/>
  <c r="G23"/>
  <c r="K23" s="1"/>
  <c r="J24"/>
  <c r="G24"/>
  <c r="J19"/>
  <c r="K19" s="1"/>
  <c r="G19"/>
  <c r="J14"/>
  <c r="K14" s="1"/>
  <c r="G14"/>
  <c r="J13"/>
  <c r="K13" s="1"/>
  <c r="G13"/>
  <c r="J12"/>
  <c r="K12" s="1"/>
  <c r="G12"/>
  <c r="J11"/>
  <c r="K11" s="1"/>
  <c r="G11"/>
  <c r="J10"/>
  <c r="K10" s="1"/>
  <c r="G10"/>
  <c r="G6"/>
  <c r="G7"/>
  <c r="J8"/>
  <c r="G8"/>
  <c r="K8"/>
  <c r="G17"/>
  <c r="J17"/>
  <c r="K17" s="1"/>
  <c r="G20"/>
  <c r="J20"/>
  <c r="K20"/>
  <c r="G80"/>
  <c r="K80"/>
  <c r="J101"/>
  <c r="G55"/>
  <c r="J55"/>
  <c r="K55"/>
  <c r="G115"/>
  <c r="G111"/>
  <c r="J111"/>
  <c r="K111" s="1"/>
  <c r="G81"/>
  <c r="J81"/>
  <c r="J35"/>
  <c r="G35"/>
  <c r="K35" s="1"/>
  <c r="G68"/>
  <c r="J68"/>
  <c r="J88"/>
  <c r="K88" s="1"/>
  <c r="G88"/>
  <c r="J92"/>
  <c r="K92" s="1"/>
  <c r="G92"/>
  <c r="G87"/>
  <c r="J77"/>
  <c r="K77" s="1"/>
  <c r="J78"/>
  <c r="K78" s="1"/>
  <c r="G78"/>
  <c r="J70"/>
  <c r="K70" s="1"/>
  <c r="G70"/>
  <c r="G43"/>
  <c r="G44"/>
  <c r="J44"/>
  <c r="G114"/>
  <c r="J115"/>
  <c r="K115"/>
  <c r="J116"/>
  <c r="K116" s="1"/>
  <c r="G116"/>
  <c r="J117"/>
  <c r="K117" s="1"/>
  <c r="G117"/>
  <c r="J118"/>
  <c r="K118" s="1"/>
  <c r="G118"/>
  <c r="J67"/>
  <c r="K67" s="1"/>
  <c r="G67"/>
  <c r="G53"/>
  <c r="J53"/>
  <c r="K53" s="1"/>
  <c r="G54"/>
  <c r="K54" s="1"/>
  <c r="J54"/>
  <c r="J60"/>
  <c r="K60" s="1"/>
  <c r="G60"/>
  <c r="G61"/>
  <c r="K61" s="1"/>
  <c r="G79"/>
  <c r="J73"/>
  <c r="K73" s="1"/>
  <c r="G73"/>
  <c r="G72"/>
  <c r="G119"/>
  <c r="K119" s="1"/>
  <c r="J119"/>
  <c r="K24"/>
  <c r="J72"/>
  <c r="K72" s="1"/>
  <c r="J114"/>
  <c r="K114"/>
  <c r="G77"/>
  <c r="J61"/>
  <c r="J87"/>
  <c r="K87"/>
  <c r="K68"/>
  <c r="J79"/>
  <c r="K79" s="1"/>
  <c r="K44"/>
  <c r="J43"/>
  <c r="K43"/>
  <c r="S127" l="1"/>
  <c r="T127"/>
  <c r="U127"/>
  <c r="V127"/>
  <c r="W127"/>
  <c r="U83"/>
  <c r="V83"/>
  <c r="S83"/>
  <c r="W83"/>
  <c r="T83"/>
  <c r="S97"/>
  <c r="T97"/>
  <c r="U97"/>
  <c r="V97"/>
  <c r="W97"/>
  <c r="S65"/>
  <c r="T65"/>
  <c r="U65"/>
  <c r="V65"/>
  <c r="W65"/>
  <c r="T15"/>
  <c r="S15"/>
  <c r="U15"/>
  <c r="V15"/>
  <c r="W15"/>
  <c r="V84"/>
  <c r="W84"/>
  <c r="S84"/>
  <c r="T84"/>
  <c r="U84"/>
  <c r="J9"/>
  <c r="K9" s="1"/>
  <c r="K121"/>
  <c r="G112"/>
  <c r="K109"/>
  <c r="K93"/>
  <c r="K45"/>
  <c r="K74"/>
  <c r="K48"/>
  <c r="I128"/>
  <c r="S21"/>
  <c r="T21"/>
  <c r="U21"/>
  <c r="V21"/>
  <c r="W21"/>
  <c r="T46"/>
  <c r="S46"/>
  <c r="U46"/>
  <c r="V46"/>
  <c r="W46"/>
  <c r="U32"/>
  <c r="V32"/>
  <c r="W32"/>
  <c r="S32"/>
  <c r="T32"/>
  <c r="G58"/>
  <c r="E128"/>
  <c r="S33"/>
  <c r="V33"/>
  <c r="W33"/>
  <c r="T33"/>
  <c r="U33"/>
  <c r="T22"/>
  <c r="U22"/>
  <c r="V22"/>
  <c r="W22"/>
  <c r="S22"/>
  <c r="K112"/>
  <c r="K58"/>
  <c r="K5"/>
  <c r="K42"/>
  <c r="K90"/>
  <c r="K85"/>
  <c r="K71"/>
  <c r="J49"/>
  <c r="K49" s="1"/>
  <c r="K28"/>
  <c r="G100"/>
  <c r="K100" s="1"/>
  <c r="H98"/>
  <c r="J98" s="1"/>
  <c r="K98" s="1"/>
  <c r="S47"/>
  <c r="W47"/>
  <c r="H104"/>
  <c r="J104" s="1"/>
  <c r="K104" s="1"/>
  <c r="H36"/>
  <c r="J36" s="1"/>
  <c r="K36" s="1"/>
  <c r="V47"/>
  <c r="F112"/>
  <c r="F128" s="1"/>
  <c r="U47"/>
  <c r="T71" l="1"/>
  <c r="U71"/>
  <c r="V71"/>
  <c r="S71"/>
  <c r="W71"/>
  <c r="T112"/>
  <c r="U112"/>
  <c r="V112"/>
  <c r="S112"/>
  <c r="W112"/>
  <c r="U48"/>
  <c r="V48"/>
  <c r="W48"/>
  <c r="S48"/>
  <c r="T48"/>
  <c r="S104"/>
  <c r="V104"/>
  <c r="W104"/>
  <c r="T104"/>
  <c r="U104"/>
  <c r="V49"/>
  <c r="S49"/>
  <c r="W49"/>
  <c r="T49"/>
  <c r="U49"/>
  <c r="W58"/>
  <c r="S58"/>
  <c r="T58"/>
  <c r="U58"/>
  <c r="V58"/>
  <c r="W36"/>
  <c r="S36"/>
  <c r="T36"/>
  <c r="U36"/>
  <c r="V36"/>
  <c r="T28"/>
  <c r="S28"/>
  <c r="U28"/>
  <c r="V28"/>
  <c r="W28"/>
  <c r="V5"/>
  <c r="W5"/>
  <c r="S5"/>
  <c r="T5"/>
  <c r="U5"/>
  <c r="W109"/>
  <c r="T109"/>
  <c r="S109"/>
  <c r="U109"/>
  <c r="V109"/>
  <c r="V42"/>
  <c r="W42"/>
  <c r="S42"/>
  <c r="T42"/>
  <c r="U42"/>
  <c r="T93"/>
  <c r="U93"/>
  <c r="V93"/>
  <c r="W93"/>
  <c r="S93"/>
  <c r="U98"/>
  <c r="S98"/>
  <c r="V98"/>
  <c r="W98"/>
  <c r="T98"/>
  <c r="S90"/>
  <c r="T90"/>
  <c r="U90"/>
  <c r="V90"/>
  <c r="W90"/>
  <c r="S45"/>
  <c r="T45"/>
  <c r="U45"/>
  <c r="V45"/>
  <c r="W45"/>
  <c r="S9"/>
  <c r="W9"/>
  <c r="T9"/>
  <c r="U9"/>
  <c r="V9"/>
  <c r="W85"/>
  <c r="T85"/>
  <c r="U85"/>
  <c r="S85"/>
  <c r="V85"/>
  <c r="T74"/>
  <c r="S74"/>
  <c r="U74"/>
  <c r="V74"/>
  <c r="W74"/>
  <c r="G128"/>
  <c r="H128"/>
  <c r="J128" s="1"/>
  <c r="W128" l="1"/>
  <c r="S128"/>
  <c r="K128"/>
  <c r="T128"/>
  <c r="U128"/>
  <c r="V128"/>
</calcChain>
</file>

<file path=xl/sharedStrings.xml><?xml version="1.0" encoding="utf-8"?>
<sst xmlns="http://schemas.openxmlformats.org/spreadsheetml/2006/main" count="246" uniqueCount="174">
  <si>
    <t>Програма розвитку освіти Львівщини на 2017-2020 роки</t>
  </si>
  <si>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</si>
  <si>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</si>
  <si>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</si>
  <si>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</si>
  <si>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</si>
  <si>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</si>
  <si>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</si>
  <si>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</si>
  <si>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</si>
  <si>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Відсоток виконання</t>
  </si>
  <si>
    <t>Департамент охорони здоров'я</t>
  </si>
  <si>
    <t>тис. грн.</t>
  </si>
  <si>
    <t>Служба у справах дітей</t>
  </si>
  <si>
    <t>Управління фізичної культури та спорту</t>
  </si>
  <si>
    <t>Департамент внутрішньої та інформаційної політики</t>
  </si>
  <si>
    <t>Разом по програмі</t>
  </si>
  <si>
    <t>Обласна рада</t>
  </si>
  <si>
    <t>Департамент освіти і науки</t>
  </si>
  <si>
    <t xml:space="preserve"> </t>
  </si>
  <si>
    <t>Управління капітального будівництва</t>
  </si>
  <si>
    <t>Облдержадміністарція</t>
  </si>
  <si>
    <t>Регіональна програма сприяння розвитку інформаційного простору та громадянського суспільства у Львівській області на 2018-2020 роки</t>
  </si>
  <si>
    <t>Комплексна програма соціальної підтримки окремих категорій громадян Львівської областні на 2018-2020 роки</t>
  </si>
  <si>
    <t>Комплексна програма соціальної підтримки у Львіській області учасників АТО (ООС) та їхніх родин, бійців добровольців АТО, а також родин Героїв Небесної Сотні на 2018-2020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</si>
  <si>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2018-2020 роки</t>
  </si>
  <si>
    <t>Департамент з питань культури національностей та релігії</t>
  </si>
  <si>
    <t>Програма заходів для налагодження системи поводження з твердими побутовими відходами у м. Льввові на 2017-2019 року</t>
  </si>
  <si>
    <t>Департамент розвитку та експлуатації житлово-комунального господарства</t>
  </si>
  <si>
    <t>Департамент паливно-енергетичного комплексу</t>
  </si>
  <si>
    <t>Департамент архітектури та розвитку містобудування</t>
  </si>
  <si>
    <t>Програма комплексного розвитку території Львівської області на 2016-2020 роки</t>
  </si>
  <si>
    <t>Комплексна програма надання житлових кредитів окремим категоріям громадян у Львівської області на 2018-2020 роки</t>
  </si>
  <si>
    <t>Департамент дорожнього господарства</t>
  </si>
  <si>
    <t>Обласна програма "Молодь Львівщини" на 2016-2020 роки</t>
  </si>
  <si>
    <t>Департамент агропромислового розвитку</t>
  </si>
  <si>
    <t>Комплексна програма підтримки та розвитку агропромислового виробництва Львівської області на 2016-2020 роки</t>
  </si>
  <si>
    <t>Департамент міжнародної технічної допомоги та міжнародного співробітництва</t>
  </si>
  <si>
    <t>Регіональна програма з міжнародного і траскордонного співробітництва, європейської інтеграції на 2018-2020 роки</t>
  </si>
  <si>
    <t>Програма розвитку туризму, курортів і рекреації у Львівській області на 2018-2020 роки</t>
  </si>
  <si>
    <t>Управління туризму та курортів</t>
  </si>
  <si>
    <t>Департамент економічної політики</t>
  </si>
  <si>
    <t>Програма  підвищення конкурентоспроможності Львівської області</t>
  </si>
  <si>
    <t>Департамент екології та природних ресурсів</t>
  </si>
  <si>
    <t>Програма охорони навколишнього природного середовища на 2016-2020 роки</t>
  </si>
  <si>
    <t>Департамент з питань цивільного захисту</t>
  </si>
  <si>
    <t>Комплексна програма "Безпечна Львівщина"</t>
  </si>
  <si>
    <t>Департамент фінансів</t>
  </si>
  <si>
    <t>Програма підтримки співробітництва територіальних громад у Львівській області на 2019-2020 роки</t>
  </si>
  <si>
    <t>Програма підтримки органів державної влади</t>
  </si>
  <si>
    <t>Всього</t>
  </si>
  <si>
    <t>70-100</t>
  </si>
  <si>
    <t>30-70</t>
  </si>
  <si>
    <t>0-30</t>
  </si>
  <si>
    <t>Код програмної класифікації видатків та кредитування місцевих бюджетів</t>
  </si>
  <si>
    <t>Фінансова підттримка кіноматографії</t>
  </si>
  <si>
    <t>Інші заходи, пов'язані з економічною  діяльністю</t>
  </si>
  <si>
    <t>Фінансова підтримка засобів масової інформації</t>
  </si>
  <si>
    <t>Інші заходи у сфері засобів масової інформації</t>
  </si>
  <si>
    <t>Компенсаційні виплати за пільговий проїзд окремих категорій громадян</t>
  </si>
  <si>
    <t>Надання фінансової підтримки громадським організаціям ветеранів і осіб з 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</si>
  <si>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</si>
  <si>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Інші субвенції з місцевого бюджету</t>
  </si>
  <si>
    <t>Проведення спортивної роботи в регіоні</t>
  </si>
  <si>
    <t>Фінансова підтримка регіональних осередків всеукраїнських організацій фізкультурно-спортивної спрямованості у  здійсненні фізкультурно масових заходів серед населення регіону</t>
  </si>
  <si>
    <t>Підтримка спорту вищих досягнень та організацій, які здійснюють фізкультурно-спортивну діяльність в регіоні</t>
  </si>
  <si>
    <t>Проектування, реставрація та охорона пам'яток архітектури</t>
  </si>
  <si>
    <t>Розроблення схем планування та забудови територій (містобудівної документації)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</si>
  <si>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</si>
  <si>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</si>
  <si>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</si>
  <si>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Захои із запобігання та ліквадації надзвичайних ситуацій та наслідків стихійного лиха</t>
  </si>
  <si>
    <t>Субвенція з місцевого бюджету державному бюджету на виконання програм соціально-економічного розвитку регіону</t>
  </si>
  <si>
    <t>0813035</t>
  </si>
  <si>
    <t>0813192</t>
  </si>
  <si>
    <t>0819770</t>
  </si>
  <si>
    <t>0813242</t>
  </si>
  <si>
    <t>1014082</t>
  </si>
  <si>
    <t>1115011, 1115012</t>
  </si>
  <si>
    <t>1115021, 1115022</t>
  </si>
  <si>
    <t>1115052</t>
  </si>
  <si>
    <t>1115062</t>
  </si>
  <si>
    <t>1216014</t>
  </si>
  <si>
    <t>1217310</t>
  </si>
  <si>
    <t>1219770</t>
  </si>
  <si>
    <t>1317640</t>
  </si>
  <si>
    <t>2313131</t>
  </si>
  <si>
    <t>2918120</t>
  </si>
  <si>
    <t>2719770</t>
  </si>
  <si>
    <t>Львівська обласна рада</t>
  </si>
  <si>
    <t>2517630</t>
  </si>
  <si>
    <t>Здійснення фізкультурно-спортивної та реабілітаційної роботи серед осіб з інвалідністю</t>
  </si>
  <si>
    <t>2619770</t>
  </si>
  <si>
    <t>1917461</t>
  </si>
  <si>
    <t>1917463</t>
  </si>
  <si>
    <t>1619800</t>
  </si>
  <si>
    <t>9770</t>
  </si>
  <si>
    <t>9800</t>
  </si>
  <si>
    <t>1019770</t>
  </si>
  <si>
    <t>Субвенція з місцевого бюджету на виконання програм соціально-економічного розвитку регіонів</t>
  </si>
  <si>
    <t>Департамент освіти</t>
  </si>
  <si>
    <t>1614082</t>
  </si>
  <si>
    <t>Інші заходи в галузі культури і мистецтва</t>
  </si>
  <si>
    <t>Департамент культури</t>
  </si>
  <si>
    <t>Департамент екології</t>
  </si>
  <si>
    <t>1617130</t>
  </si>
  <si>
    <t>Здійснення заходів із землеустрою</t>
  </si>
  <si>
    <t>0619320</t>
  </si>
  <si>
    <t>1919730</t>
  </si>
  <si>
    <t>1917470</t>
  </si>
  <si>
    <t>1517463</t>
  </si>
  <si>
    <t>0117693</t>
  </si>
  <si>
    <t>3719770</t>
  </si>
  <si>
    <t>1917362</t>
  </si>
  <si>
    <t xml:space="preserve">   </t>
  </si>
  <si>
    <t xml:space="preserve">                                                                                                         </t>
  </si>
  <si>
    <t>Інша діяльність у сфері державного управління</t>
  </si>
  <si>
    <t>0110180</t>
  </si>
  <si>
    <t xml:space="preserve">Програма відновлення, збереження національної пам"яті та протокольних заходів у Львівській області                                                                       </t>
  </si>
  <si>
    <t>Інші заходи, пов´язані з економічною діяльністю</t>
  </si>
  <si>
    <t>118420</t>
  </si>
  <si>
    <t>0611162</t>
  </si>
  <si>
    <t>Інші програми та заходи у сфері освіти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</si>
  <si>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</si>
  <si>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0712152</t>
  </si>
  <si>
    <t>Комплексна програма надання медичної допомоги мешканцям Львівської області на 2017-2020 роки</t>
  </si>
  <si>
    <t>0813033</t>
  </si>
  <si>
    <t>Компенсаційні виплати за пільговий проїзд окремих категорій громадян на залізничному транспорті</t>
  </si>
  <si>
    <t xml:space="preserve">Департамент соціального захисту населення </t>
  </si>
  <si>
    <t xml:space="preserve">Інші субвенції з місцевого бюджету </t>
  </si>
  <si>
    <t>Будівництво інших об'єктів комуніальної власності</t>
  </si>
  <si>
    <t>0919770</t>
  </si>
  <si>
    <t>Утримання та фінансова підтримка спортивних споруд</t>
  </si>
  <si>
    <t>1115041</t>
  </si>
  <si>
    <t>Програма газифікації населених пунктів Львівської області на 2018-2020 роки</t>
  </si>
  <si>
    <t>Програма зовнішнього освітлення населених пунктів Львівської області на 2017-2020 роки</t>
  </si>
  <si>
    <t xml:space="preserve">Програма енергозбереження для населення Львівщини на 2017-2020 роки </t>
  </si>
  <si>
    <t>Програма енергозбереження для бюджетної сфери Львівщини на 2016-2020 роки</t>
  </si>
  <si>
    <t>Програма "Питна вода" на 2012-2020 роки у Львівської області</t>
  </si>
  <si>
    <t>Комплексна програма розвитку фізичної культури та спорту Львівщини на період до 2021 роки</t>
  </si>
  <si>
    <t>Заходи з енергозбереження</t>
  </si>
  <si>
    <t>1617350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</si>
  <si>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</si>
  <si>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</si>
  <si>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Програма розвитку мережі й утримання автомобільних доріг, організації та безпеки дорожнього руху на 2018-2025 роки</t>
  </si>
  <si>
    <t>Утримання та розвиток автомобільних доріг та дорожньої інфраструктури за рахунок коштів місцевого бюджету</t>
  </si>
  <si>
    <t>Реалізація програм і заходів в галузі зовнішньоекономічної діяльності</t>
  </si>
  <si>
    <t>Реалізація програм і заходів в галузі туризму та курортів</t>
  </si>
  <si>
    <t>Обласна цільова програма розвитку лісового господарства Львівської області на 2017-2021 роки</t>
  </si>
  <si>
    <t>Реалізація програм у галузі лісового господарства і мисливства</t>
  </si>
  <si>
    <t>2818320</t>
  </si>
  <si>
    <t>2918230</t>
  </si>
  <si>
    <t>Інші заходи громадського порядку та безпеки</t>
  </si>
  <si>
    <t>Програма проведення обласного конкурсу проєктів місцевих ініціатив у Львівській області на 2020-2025 роки</t>
  </si>
  <si>
    <t>Охорона і збереження культурної спадщини Львівської області на 2018-2020 роки</t>
  </si>
  <si>
    <t>Комплексна програма розвитку культури Львівщини на 2018-2020 року</t>
  </si>
  <si>
    <t>Стан фінансування обласних програм у 2020році</t>
  </si>
  <si>
    <t>0611070,   0611030</t>
  </si>
  <si>
    <t>Утримання та розвиток автомобільних доріг та дорожньої інфраструктури за рахунок трансфертів з інших місцевих бюджетів</t>
  </si>
  <si>
    <t xml:space="preserve">Обласна рада </t>
  </si>
  <si>
    <t xml:space="preserve">Департамент з питань культури, національностей та релігій </t>
  </si>
  <si>
    <t xml:space="preserve">Субвенція з місцевого бюджету на виконання інвестиційних проектів </t>
  </si>
  <si>
    <t>2519770</t>
  </si>
  <si>
    <t>1619720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</si>
  <si>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</si>
  <si>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2819800</t>
  </si>
  <si>
    <t>Субвенція з місцевого бюджету державному бюджету на виконання програм соціально-економічного розвитку регіонів</t>
  </si>
  <si>
    <t>2819740</t>
  </si>
  <si>
    <t>Субвенція з місцевого бюджету на здійснення природоохоронних зааходів</t>
  </si>
  <si>
    <t>1617368</t>
  </si>
  <si>
    <t>Виконання інвестиційних проектів за рахунок субвенцій з інших бюджетів</t>
  </si>
  <si>
    <t>Станом на 05.06.2020</t>
  </si>
  <si>
    <r>
      <t xml:space="preserve"> 2020 рік </t>
    </r>
    <r>
      <rPr>
        <sz val="14"/>
        <rFont val="Times New Roman"/>
        <family val="1"/>
        <charset val="204"/>
      </rPr>
      <t>(станом на 05.06.2020)</t>
    </r>
  </si>
  <si>
    <t>Субвенція з місцевого бюджету за рахунок залишку освітньої субвенції, що утворився на початок бюджетного періоду</t>
  </si>
</sst>
</file>

<file path=xl/styles.xml><?xml version="1.0" encoding="utf-8"?>
<styleSheet xmlns="http://schemas.openxmlformats.org/spreadsheetml/2006/main">
  <numFmts count="16">
    <numFmt numFmtId="180" formatCode="#,##0\ &quot;z?&quot;;[Red]\-#,##0\ &quot;z?&quot;"/>
    <numFmt numFmtId="181" formatCode="#,##0.00\ &quot;z?&quot;;[Red]\-#,##0.00\ &quot;z?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-* #,##0\ &quot;р.&quot;_-;\-* #,##0\ &quot;р.&quot;_-;_-* &quot;-&quot;\ &quot;р.&quot;_-;_-@_-"/>
    <numFmt numFmtId="185" formatCode="_-* #,##0.00\ &quot;р.&quot;_-;\-* #,##0.00\ &quot;р.&quot;_-;_-* &quot;-&quot;??\ &quot;р.&quot;_-;_-@_-"/>
    <numFmt numFmtId="186" formatCode="_-* #,##0\ _z_?_-;\-* #,##0\ _z_?_-;_-* &quot;-&quot;\ _z_?_-;_-@_-"/>
    <numFmt numFmtId="187" formatCode="_-* #,##0.00\ _z_?_-;\-* #,##0.00\ _z_?_-;_-* &quot;-&quot;??\ _z_?_-;_-@_-"/>
    <numFmt numFmtId="188" formatCode="#,##0.\-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-* #,##0.00\ &quot;грн.&quot;_-;\-* #,##0.00\ &quot;грн.&quot;_-;_-* &quot;-&quot;??\ &quot;грн.&quot;_-;_-@_-"/>
    <numFmt numFmtId="193" formatCode="_-* #,##0.00\ _г_р_н_._-;\-* #,##0.00\ _г_р_н_._-;_-* &quot;-&quot;??\ _г_р_н_._-;_-@_-"/>
    <numFmt numFmtId="195" formatCode="#,##0\ &quot;грн.&quot;;\-#,##0\ &quot;грн.&quot;"/>
    <numFmt numFmtId="196" formatCode="#,##0.0"/>
    <numFmt numFmtId="198" formatCode="0.0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charset val="204"/>
    </font>
    <font>
      <sz val="1"/>
      <color indexed="8"/>
      <name val="Courier"/>
    </font>
    <font>
      <sz val="10"/>
      <name val="Helv"/>
      <charset val="204"/>
    </font>
    <font>
      <sz val="1"/>
      <color indexed="8"/>
      <name val="Courier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2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6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6" fontId="12" fillId="0" borderId="0"/>
    <xf numFmtId="186" fontId="11" fillId="0" borderId="0" applyFont="0" applyFill="0" applyBorder="0" applyAlignment="0" applyProtection="0"/>
    <xf numFmtId="187" fontId="11" fillId="0" borderId="0" applyFont="0" applyFill="0" applyBorder="0" applyAlignment="0" applyProtection="0"/>
    <xf numFmtId="188" fontId="15" fillId="16" borderId="0"/>
    <xf numFmtId="0" fontId="16" fillId="17" borderId="0"/>
    <xf numFmtId="188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89" fontId="11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8" borderId="3" applyNumberFormat="0" applyAlignment="0" applyProtection="0"/>
    <xf numFmtId="0" fontId="22" fillId="18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91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9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38" fillId="0" borderId="0" applyFont="0" applyFill="0" applyBorder="0" applyAlignment="0" applyProtection="0"/>
    <xf numFmtId="193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47">
    <xf numFmtId="0" fontId="0" fillId="0" borderId="0" xfId="0"/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26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96" fontId="16" fillId="0" borderId="11" xfId="0" applyNumberFormat="1" applyFont="1" applyBorder="1" applyAlignment="1">
      <alignment horizontal="center" vertical="center" wrapText="1"/>
    </xf>
    <xf numFmtId="196" fontId="17" fillId="0" borderId="11" xfId="0" applyNumberFormat="1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196" fontId="39" fillId="0" borderId="11" xfId="0" applyNumberFormat="1" applyFont="1" applyBorder="1" applyAlignment="1">
      <alignment horizontal="center" vertical="center" wrapText="1"/>
    </xf>
    <xf numFmtId="196" fontId="16" fillId="0" borderId="11" xfId="0" applyNumberFormat="1" applyFont="1" applyFill="1" applyBorder="1" applyAlignment="1">
      <alignment horizontal="center" vertical="center" wrapText="1"/>
    </xf>
    <xf numFmtId="196" fontId="17" fillId="0" borderId="11" xfId="0" applyNumberFormat="1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196" fontId="40" fillId="0" borderId="11" xfId="0" applyNumberFormat="1" applyFont="1" applyFill="1" applyBorder="1" applyAlignment="1">
      <alignment horizontal="center" vertical="center" wrapText="1"/>
    </xf>
    <xf numFmtId="198" fontId="17" fillId="0" borderId="0" xfId="0" applyNumberFormat="1" applyFont="1" applyAlignment="1">
      <alignment horizontal="center" vertical="center" wrapText="1"/>
    </xf>
    <xf numFmtId="198" fontId="16" fillId="0" borderId="0" xfId="0" applyNumberFormat="1" applyFont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7" fillId="0" borderId="11" xfId="0" applyFont="1" applyFill="1" applyBorder="1" applyAlignment="1">
      <alignment vertical="center" wrapText="1"/>
    </xf>
    <xf numFmtId="0" fontId="41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vertical="center" wrapText="1"/>
    </xf>
    <xf numFmtId="0" fontId="36" fillId="0" borderId="11" xfId="0" applyFont="1" applyFill="1" applyBorder="1" applyAlignment="1">
      <alignment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0" fontId="36" fillId="0" borderId="11" xfId="0" applyFont="1" applyFill="1" applyBorder="1" applyAlignment="1">
      <alignment horizontal="center" vertical="center" wrapText="1"/>
    </xf>
  </cellXfs>
  <cellStyles count="216">
    <cellStyle name="?’ЋѓЋ‚›‰" xfId="6"/>
    <cellStyle name="?’ЋѓЋ‚›‰ 2" xfId="7"/>
    <cellStyle name="?’ЋѓЋ‚›‰_320_dod_1-8" xfId="8"/>
    <cellStyle name="_Veresen_derg" xfId="13"/>
    <cellStyle name="_Вик01102002 держ" xfId="14"/>
    <cellStyle name="_доходи" xfId="15"/>
    <cellStyle name="_Книга1" xfId="20"/>
    <cellStyle name="_освіта 25.12.2015 дод 9  2016" xfId="53"/>
    <cellStyle name="_ПНП" xfId="54"/>
    <cellStyle name="_Прогноз ДМ по районах" xfId="55"/>
    <cellStyle name="”?ЌЂЌ‘Ћ‚›‰" xfId="57"/>
    <cellStyle name="”?ЌЂЌ‘Ћ‚›‰ 2" xfId="58"/>
    <cellStyle name="”?ЌЂЌ‘Ћ‚›‰_320_dod_1-8" xfId="59"/>
    <cellStyle name="”?Љ‘?ђЋ‚ЂЌЌ›‰" xfId="60"/>
    <cellStyle name="”?Љ‘?ђЋ‚ЂЌЌ›‰ 2" xfId="61"/>
    <cellStyle name="”?Љ‘?ђЋ‚ЂЌЌ›‰_320_dod_1-8" xfId="62"/>
    <cellStyle name="”€ЌЂЌ‘Ћ‚›‰" xfId="63"/>
    <cellStyle name="”€ЌЂЌ‘Ћ‚›‰ 2" xfId="64"/>
    <cellStyle name="”€ЌЂЌ‘Ћ‚›‰_320_dod_1-8" xfId="65"/>
    <cellStyle name="”€Љ‘€ђЋ‚ЂЌЌ›‰" xfId="66"/>
    <cellStyle name="”€Љ‘€ђЋ‚ЂЌЌ›‰ 2" xfId="67"/>
    <cellStyle name="”€Љ‘€ђЋ‚ЂЌЌ›‰_320_dod_1-8" xfId="68"/>
    <cellStyle name="”ЌЂЌ‘Ћ‚›‰" xfId="69"/>
    <cellStyle name="”Љ‘ђЋ‚ЂЌЌ›‰" xfId="70"/>
    <cellStyle name="„…Ќ…†Ќ›‰" xfId="71"/>
    <cellStyle name="€’ЋѓЋ‚›‰" xfId="74"/>
    <cellStyle name="€’ЋѓЋ‚›‰ 2" xfId="75"/>
    <cellStyle name="€’ЋѓЋ‚›‰_320_dod_1-8" xfId="76"/>
    <cellStyle name="‡ЂѓЋ‹Ћ‚ЋЉ1" xfId="72"/>
    <cellStyle name="‡ЂѓЋ‹Ћ‚ЋЉ2" xfId="73"/>
    <cellStyle name="’ЋѓЋ‚›‰" xfId="56"/>
    <cellStyle name="" xfId="1"/>
    <cellStyle name="" xfId="2"/>
    <cellStyle name="_320_dod_1-8" xfId="9"/>
    <cellStyle name="_320_dod_1-8" xfId="10"/>
    <cellStyle name="_доходи" xfId="16"/>
    <cellStyle name="_доходи" xfId="17"/>
    <cellStyle name="_Лист1" xfId="21"/>
    <cellStyle name="_Лист1" xfId="22"/>
    <cellStyle name="_Лист1_1" xfId="25"/>
    <cellStyle name="_Лист1_1" xfId="26"/>
    <cellStyle name="_Лист1_1 2" xfId="29"/>
    <cellStyle name="_Лист1_1 2" xfId="30"/>
    <cellStyle name="_Лист1_1 3" xfId="33"/>
    <cellStyle name="_Лист1_1 3" xfId="34"/>
    <cellStyle name="_Лист1_1 4" xfId="37"/>
    <cellStyle name="_Лист1_1 4" xfId="38"/>
    <cellStyle name="_Лист1_1 5" xfId="41"/>
    <cellStyle name="_Лист1_1 5" xfId="42"/>
    <cellStyle name="_Лист1_1 6" xfId="45"/>
    <cellStyle name="_Лист1_1 6" xfId="46"/>
    <cellStyle name="_Лист1_1 7" xfId="49"/>
    <cellStyle name="_Лист1_1 7" xfId="50"/>
    <cellStyle name="" xfId="3"/>
    <cellStyle name="" xfId="4"/>
    <cellStyle name="_320_dod_1-8" xfId="11"/>
    <cellStyle name="_320_dod_1-8" xfId="12"/>
    <cellStyle name="_доходи" xfId="18"/>
    <cellStyle name="_доходи" xfId="19"/>
    <cellStyle name="_Лист1" xfId="23"/>
    <cellStyle name="_Лист1" xfId="24"/>
    <cellStyle name="_Лист1_1" xfId="27"/>
    <cellStyle name="_Лист1_1" xfId="28"/>
    <cellStyle name="_Лист1_1 2" xfId="31"/>
    <cellStyle name="_Лист1_1 2" xfId="32"/>
    <cellStyle name="_Лист1_1 3" xfId="35"/>
    <cellStyle name="_Лист1_1 3" xfId="36"/>
    <cellStyle name="_Лист1_1 4" xfId="39"/>
    <cellStyle name="_Лист1_1 4" xfId="40"/>
    <cellStyle name="_Лист1_1 5" xfId="43"/>
    <cellStyle name="_Лист1_1 5" xfId="44"/>
    <cellStyle name="_Лист1_1 6" xfId="47"/>
    <cellStyle name="_Лист1_1 6" xfId="48"/>
    <cellStyle name="_Лист1_1 7" xfId="51"/>
    <cellStyle name="_Лист1_1 7" xfId="52"/>
    <cellStyle name="" xfId="5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Акцентування1" xfId="134" customBuiltin="1"/>
    <cellStyle name="Акцентування2" xfId="135" customBuiltin="1"/>
    <cellStyle name="Акцентування3" xfId="136" customBuiltin="1"/>
    <cellStyle name="Акцентування4" xfId="137" customBuiltin="1"/>
    <cellStyle name="Акцентування5" xfId="138" customBuiltin="1"/>
    <cellStyle name="Акцентування6" xfId="139" customBuiltin="1"/>
    <cellStyle name="Ввід" xfId="140" customBuiltin="1"/>
    <cellStyle name="Ввод " xfId="141"/>
    <cellStyle name="Вывод" xfId="142"/>
    <cellStyle name="Вычисление" xfId="143"/>
    <cellStyle name="Гарний" xfId="144" customBuiltin="1"/>
    <cellStyle name="Гарний 2" xfId="145"/>
    <cellStyle name="Грошовий 2" xfId="146"/>
    <cellStyle name="Добре" xfId="147"/>
    <cellStyle name="Заголовок 1" xfId="148" builtinId="16" customBuiltin="1"/>
    <cellStyle name="Заголовок 2" xfId="149" builtinId="17" customBuiltin="1"/>
    <cellStyle name="Заголовок 3" xfId="150" builtinId="18" customBuiltin="1"/>
    <cellStyle name="Заголовок 4" xfId="151" builtinId="19" customBuiltin="1"/>
    <cellStyle name="Звичайний 10" xfId="152"/>
    <cellStyle name="Звичайний 11" xfId="153"/>
    <cellStyle name="Звичайний 12" xfId="154"/>
    <cellStyle name="Звичайний 13" xfId="155"/>
    <cellStyle name="Звичайний 14" xfId="156"/>
    <cellStyle name="Звичайний 15" xfId="157"/>
    <cellStyle name="Звичайний 16" xfId="158"/>
    <cellStyle name="Звичайний 17" xfId="159"/>
    <cellStyle name="Звичайний 18" xfId="160"/>
    <cellStyle name="Звичайний 19" xfId="161"/>
    <cellStyle name="Звичайний 2" xfId="162"/>
    <cellStyle name="Звичайний 2 2" xfId="163"/>
    <cellStyle name="Звичайний 2 2 2" xfId="164"/>
    <cellStyle name="Звичайний 2 3" xfId="165"/>
    <cellStyle name="Звичайний 2_13 Додаток ПТУ 1" xfId="166"/>
    <cellStyle name="Звичайний 20" xfId="167"/>
    <cellStyle name="Звичайний 3" xfId="168"/>
    <cellStyle name="Звичайний 3 2" xfId="169"/>
    <cellStyle name="Звичайний 4" xfId="170"/>
    <cellStyle name="Звичайний 4 2" xfId="171"/>
    <cellStyle name="Звичайний 4 2 2" xfId="172"/>
    <cellStyle name="Звичайний 4 3" xfId="173"/>
    <cellStyle name="Звичайний 4_13 Додаток ПТУ 1" xfId="174"/>
    <cellStyle name="Звичайний 5" xfId="175"/>
    <cellStyle name="Звичайний 6" xfId="176"/>
    <cellStyle name="Звичайний 7" xfId="177"/>
    <cellStyle name="Звичайний 8" xfId="178"/>
    <cellStyle name="Звичайний 9" xfId="179"/>
    <cellStyle name="Зв'язана клітинка" xfId="180" customBuiltin="1"/>
    <cellStyle name="Итог" xfId="181"/>
    <cellStyle name="Контрольна клітинка" xfId="182" customBuiltin="1"/>
    <cellStyle name="Контрольная ячейка" xfId="183"/>
    <cellStyle name="Назва" xfId="184" customBuiltin="1"/>
    <cellStyle name="Название" xfId="185"/>
    <cellStyle name="Нейтральний" xfId="186" customBuiltin="1"/>
    <cellStyle name="Нейтральний 2" xfId="187"/>
    <cellStyle name="Нейтральный" xfId="188"/>
    <cellStyle name="Обчислення" xfId="189" customBuiltin="1"/>
    <cellStyle name="Обычный" xfId="0" builtinId="0"/>
    <cellStyle name="Обычный 2" xfId="190"/>
    <cellStyle name="Обычный 2 2" xfId="191"/>
    <cellStyle name="Обычный 2 2 2" xfId="192"/>
    <cellStyle name="Обычный 2 3" xfId="193"/>
    <cellStyle name="Підсумок" xfId="194" customBuiltin="1"/>
    <cellStyle name="Плохой" xfId="195"/>
    <cellStyle name="Поганий" xfId="196" customBuiltin="1"/>
    <cellStyle name="Пояснение" xfId="197"/>
    <cellStyle name="Примечание" xfId="198"/>
    <cellStyle name="Примечание 2" xfId="199"/>
    <cellStyle name="Примітка" xfId="200" customBuiltin="1"/>
    <cellStyle name="Результат" xfId="201" customBuiltin="1"/>
    <cellStyle name="Связанная ячейка" xfId="202"/>
    <cellStyle name="Середній" xfId="203"/>
    <cellStyle name="Стиль 1" xfId="204"/>
    <cellStyle name="Текст попередження" xfId="205" customBuiltin="1"/>
    <cellStyle name="Текст пояснення" xfId="206" customBuiltin="1"/>
    <cellStyle name="Текст предупреждения" xfId="207"/>
    <cellStyle name="Тысячи [0]_Додаток №1" xfId="208"/>
    <cellStyle name="Тысячи_Додаток №1" xfId="209"/>
    <cellStyle name="Фінансовий 2" xfId="210"/>
    <cellStyle name="Фінансовий 2 2" xfId="211"/>
    <cellStyle name="Фінансовий 2 2 2" xfId="212"/>
    <cellStyle name="Фінансовий 2 3" xfId="213"/>
    <cellStyle name="Хороший" xfId="214"/>
    <cellStyle name="ЏђЋ–…Ќ’Ќ›‰" xfId="21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0"/>
  <sheetViews>
    <sheetView tabSelected="1" view="pageBreakPreview" zoomScale="75" zoomScaleNormal="60" workbookViewId="0">
      <pane xSplit="3" ySplit="4" topLeftCell="D126" activePane="bottomRight" state="frozen"/>
      <selection pane="topRight" activeCell="D1" sqref="D1"/>
      <selection pane="bottomLeft" activeCell="A5" sqref="A5"/>
      <selection pane="bottomRight" activeCell="A129" sqref="A129:E136"/>
    </sheetView>
  </sheetViews>
  <sheetFormatPr defaultColWidth="9.109375" defaultRowHeight="18"/>
  <cols>
    <col min="1" max="1" width="7" style="4" customWidth="1"/>
    <col min="2" max="2" width="18.44140625" style="14" customWidth="1"/>
    <col min="3" max="3" width="45.109375" style="8" customWidth="1"/>
    <col min="4" max="4" width="35.44140625" style="4" customWidth="1"/>
    <col min="5" max="5" width="17.109375" style="4" customWidth="1"/>
    <col min="6" max="6" width="17.88671875" style="4" customWidth="1"/>
    <col min="7" max="7" width="17.109375" style="4" customWidth="1"/>
    <col min="8" max="8" width="19.33203125" style="4" customWidth="1"/>
    <col min="9" max="9" width="19" style="4" customWidth="1"/>
    <col min="10" max="10" width="15.44140625" style="4" customWidth="1"/>
    <col min="11" max="11" width="15.6640625" style="4" customWidth="1"/>
    <col min="12" max="17" width="9.109375" style="4"/>
    <col min="18" max="18" width="14.109375" style="4" customWidth="1"/>
    <col min="19" max="19" width="45.109375" style="4" customWidth="1"/>
    <col min="20" max="20" width="15.44140625" style="4" bestFit="1" customWidth="1"/>
    <col min="21" max="21" width="15.6640625" style="4" bestFit="1" customWidth="1"/>
    <col min="22" max="22" width="14.33203125" style="4" bestFit="1" customWidth="1"/>
    <col min="23" max="23" width="11.33203125" style="4" bestFit="1" customWidth="1"/>
    <col min="24" max="16384" width="9.109375" style="4"/>
  </cols>
  <sheetData>
    <row r="1" spans="1:23" ht="18.75" customHeight="1">
      <c r="A1" s="43" t="s">
        <v>156</v>
      </c>
      <c r="B1" s="43"/>
      <c r="C1" s="43"/>
      <c r="D1" s="43"/>
      <c r="E1" s="43"/>
      <c r="F1" s="43"/>
      <c r="G1" s="43"/>
      <c r="H1" s="43"/>
      <c r="I1" s="43"/>
      <c r="J1" s="43"/>
      <c r="K1" s="24"/>
    </row>
    <row r="2" spans="1:23">
      <c r="A2" s="2" t="s">
        <v>19</v>
      </c>
      <c r="B2" s="12"/>
      <c r="C2" s="5"/>
      <c r="D2" s="44" t="s">
        <v>171</v>
      </c>
      <c r="E2" s="44"/>
      <c r="F2" s="2"/>
      <c r="G2" s="2"/>
      <c r="H2" s="2"/>
      <c r="I2" s="2"/>
      <c r="J2" s="2"/>
      <c r="K2" s="3" t="s">
        <v>12</v>
      </c>
    </row>
    <row r="3" spans="1:23" ht="53.25" customHeight="1">
      <c r="A3" s="36" t="s">
        <v>7</v>
      </c>
      <c r="B3" s="37" t="s">
        <v>54</v>
      </c>
      <c r="C3" s="36" t="s">
        <v>6</v>
      </c>
      <c r="D3" s="36" t="s">
        <v>1</v>
      </c>
      <c r="E3" s="39" t="s">
        <v>8</v>
      </c>
      <c r="F3" s="40"/>
      <c r="G3" s="41"/>
      <c r="H3" s="36" t="s">
        <v>9</v>
      </c>
      <c r="I3" s="36"/>
      <c r="J3" s="36"/>
      <c r="K3" s="36" t="s">
        <v>10</v>
      </c>
    </row>
    <row r="4" spans="1:23" ht="81" customHeight="1">
      <c r="A4" s="36"/>
      <c r="B4" s="38"/>
      <c r="C4" s="36"/>
      <c r="D4" s="36"/>
      <c r="E4" s="1" t="s">
        <v>4</v>
      </c>
      <c r="F4" s="1" t="s">
        <v>5</v>
      </c>
      <c r="G4" s="1" t="s">
        <v>3</v>
      </c>
      <c r="H4" s="1" t="s">
        <v>4</v>
      </c>
      <c r="I4" s="1" t="s">
        <v>5</v>
      </c>
      <c r="J4" s="1" t="s">
        <v>3</v>
      </c>
      <c r="K4" s="36"/>
      <c r="S4" s="9">
        <v>100</v>
      </c>
      <c r="T4" s="9" t="s">
        <v>51</v>
      </c>
      <c r="U4" s="9" t="s">
        <v>52</v>
      </c>
      <c r="V4" s="9" t="s">
        <v>53</v>
      </c>
      <c r="W4" s="9">
        <v>0</v>
      </c>
    </row>
    <row r="5" spans="1:23" ht="93" customHeight="1">
      <c r="A5" s="42">
        <v>1</v>
      </c>
      <c r="B5" s="19" t="s">
        <v>115</v>
      </c>
      <c r="C5" s="26" t="s">
        <v>118</v>
      </c>
      <c r="D5" s="18" t="s">
        <v>16</v>
      </c>
      <c r="E5" s="16">
        <f>E6+E7+E8</f>
        <v>6820</v>
      </c>
      <c r="F5" s="16">
        <f>F6+F7+F8</f>
        <v>0</v>
      </c>
      <c r="G5" s="16">
        <f t="shared" ref="G5:G37" si="0">E5+F5</f>
        <v>6820</v>
      </c>
      <c r="H5" s="10">
        <f>H6+H7+H8</f>
        <v>1747.15</v>
      </c>
      <c r="I5" s="10">
        <f>I6+I7+I8</f>
        <v>0</v>
      </c>
      <c r="J5" s="10">
        <f>H5+I5</f>
        <v>1747.15</v>
      </c>
      <c r="K5" s="10">
        <f t="shared" ref="K5:K15" si="1">J5/G5*100</f>
        <v>25.618035190615835</v>
      </c>
      <c r="S5" s="22" t="b">
        <f>IF(K5=100,J5)</f>
        <v>0</v>
      </c>
      <c r="T5" s="22" t="b">
        <f>IF(AND(70&lt;=K5,100&gt;K5),J5)</f>
        <v>0</v>
      </c>
      <c r="U5" s="22" t="b">
        <f>IF(AND(30&lt;=K5,70&gt;K5),J5)</f>
        <v>0</v>
      </c>
      <c r="V5" s="22">
        <f>IF(AND(0&lt;K5,30&gt;K5),J5)</f>
        <v>1747.15</v>
      </c>
      <c r="W5" s="22" t="b">
        <f>IF(K5=0,0)</f>
        <v>0</v>
      </c>
    </row>
    <row r="6" spans="1:23" ht="40.5" customHeight="1">
      <c r="A6" s="42"/>
      <c r="B6" s="19" t="s">
        <v>117</v>
      </c>
      <c r="C6" s="36" t="s">
        <v>116</v>
      </c>
      <c r="D6" s="1" t="s">
        <v>17</v>
      </c>
      <c r="E6" s="17">
        <v>950</v>
      </c>
      <c r="F6" s="17"/>
      <c r="G6" s="16">
        <f t="shared" si="0"/>
        <v>950</v>
      </c>
      <c r="H6" s="11">
        <f>3.8+1.8+5.6+58.5+27.3+1.2+7.9+8.9+15.44+128.4+43.5+0.9+4.5</f>
        <v>307.74</v>
      </c>
      <c r="I6" s="11"/>
      <c r="J6" s="10">
        <f>H6+I6</f>
        <v>307.74</v>
      </c>
      <c r="K6" s="10">
        <f t="shared" si="1"/>
        <v>32.393684210526317</v>
      </c>
      <c r="S6" s="22"/>
      <c r="T6" s="22"/>
      <c r="U6" s="22"/>
      <c r="V6" s="22"/>
      <c r="W6" s="22"/>
    </row>
    <row r="7" spans="1:23" ht="36" customHeight="1">
      <c r="A7" s="42"/>
      <c r="B7" s="19">
        <v>210180</v>
      </c>
      <c r="C7" s="36"/>
      <c r="D7" s="1" t="s">
        <v>21</v>
      </c>
      <c r="E7" s="17">
        <v>1000</v>
      </c>
      <c r="F7" s="17"/>
      <c r="G7" s="16">
        <f t="shared" si="0"/>
        <v>1000</v>
      </c>
      <c r="H7" s="11">
        <f>68.44+80.9+95.9+12.79+49.67+14.4+16.25</f>
        <v>338.35</v>
      </c>
      <c r="I7" s="11"/>
      <c r="J7" s="10">
        <f>H7+I7</f>
        <v>338.35</v>
      </c>
      <c r="K7" s="10">
        <f t="shared" si="1"/>
        <v>33.835000000000001</v>
      </c>
      <c r="S7" s="22"/>
      <c r="T7" s="22"/>
      <c r="U7" s="22"/>
      <c r="V7" s="22"/>
      <c r="W7" s="22"/>
    </row>
    <row r="8" spans="1:23" ht="45.75" customHeight="1">
      <c r="A8" s="42"/>
      <c r="B8" s="19">
        <v>2317693</v>
      </c>
      <c r="C8" s="1" t="s">
        <v>119</v>
      </c>
      <c r="D8" s="1" t="s">
        <v>15</v>
      </c>
      <c r="E8" s="17">
        <v>4870</v>
      </c>
      <c r="F8" s="17"/>
      <c r="G8" s="16">
        <f t="shared" si="0"/>
        <v>4870</v>
      </c>
      <c r="H8" s="11">
        <f>209.3+32.9+142.27+17.3+58.2+160.8+37.2+60.1+144.09+7.8+98.4+39.6+14.2+69.2+9.7</f>
        <v>1101.0600000000002</v>
      </c>
      <c r="I8" s="11"/>
      <c r="J8" s="10">
        <f t="shared" ref="J8:J39" si="2">H8+I8</f>
        <v>1101.0600000000002</v>
      </c>
      <c r="K8" s="10">
        <f t="shared" si="1"/>
        <v>22.60903490759754</v>
      </c>
      <c r="S8" s="22"/>
      <c r="T8" s="22"/>
      <c r="U8" s="22"/>
      <c r="V8" s="22"/>
      <c r="W8" s="22"/>
    </row>
    <row r="9" spans="1:23" ht="87" customHeight="1">
      <c r="A9" s="42">
        <v>2</v>
      </c>
      <c r="B9" s="27"/>
      <c r="C9" s="20" t="s">
        <v>22</v>
      </c>
      <c r="D9" s="18" t="s">
        <v>16</v>
      </c>
      <c r="E9" s="16">
        <f>E10+E11+E12+E13+E14</f>
        <v>37500</v>
      </c>
      <c r="F9" s="16">
        <f>F10+F11+F12+F13+F14</f>
        <v>1800</v>
      </c>
      <c r="G9" s="16">
        <f t="shared" si="0"/>
        <v>39300</v>
      </c>
      <c r="H9" s="10">
        <f>H10+H11+H12+H13+H14</f>
        <v>12289.499999999998</v>
      </c>
      <c r="I9" s="10">
        <f>I10+I11+I12+I13+I14</f>
        <v>294</v>
      </c>
      <c r="J9" s="10">
        <f t="shared" si="2"/>
        <v>12583.499999999998</v>
      </c>
      <c r="K9" s="10">
        <f t="shared" si="1"/>
        <v>32.019083969465647</v>
      </c>
      <c r="S9" s="22" t="b">
        <f>IF(K9=100,J9)</f>
        <v>0</v>
      </c>
      <c r="T9" s="22" t="b">
        <f>IF(AND(70&lt;=K9,100&gt;K9),J9)</f>
        <v>0</v>
      </c>
      <c r="U9" s="22">
        <f>IF(AND(30&lt;=K9,70&gt;K9),J9)</f>
        <v>12583.499999999998</v>
      </c>
      <c r="V9" s="22" t="b">
        <f>IF(AND(0&lt;K9,30&gt;K9),J9)</f>
        <v>0</v>
      </c>
      <c r="W9" s="22" t="b">
        <f>IF(K9=0,0)</f>
        <v>0</v>
      </c>
    </row>
    <row r="10" spans="1:23" ht="51" customHeight="1">
      <c r="A10" s="42"/>
      <c r="B10" s="19" t="s">
        <v>120</v>
      </c>
      <c r="C10" s="1" t="s">
        <v>58</v>
      </c>
      <c r="D10" s="1" t="s">
        <v>17</v>
      </c>
      <c r="E10" s="17">
        <v>585</v>
      </c>
      <c r="F10" s="17"/>
      <c r="G10" s="16">
        <f t="shared" si="0"/>
        <v>585</v>
      </c>
      <c r="H10" s="11"/>
      <c r="I10" s="11"/>
      <c r="J10" s="10">
        <f t="shared" si="2"/>
        <v>0</v>
      </c>
      <c r="K10" s="10">
        <f t="shared" si="1"/>
        <v>0</v>
      </c>
      <c r="S10" s="22"/>
      <c r="T10" s="22"/>
      <c r="U10" s="22"/>
      <c r="V10" s="22"/>
      <c r="W10" s="22"/>
    </row>
    <row r="11" spans="1:23" ht="36" customHeight="1">
      <c r="A11" s="42"/>
      <c r="B11" s="19">
        <v>2314070</v>
      </c>
      <c r="C11" s="1" t="s">
        <v>55</v>
      </c>
      <c r="D11" s="36" t="s">
        <v>15</v>
      </c>
      <c r="E11" s="17"/>
      <c r="F11" s="17">
        <v>800</v>
      </c>
      <c r="G11" s="16">
        <f t="shared" si="0"/>
        <v>800</v>
      </c>
      <c r="H11" s="11"/>
      <c r="I11" s="11">
        <v>80</v>
      </c>
      <c r="J11" s="10">
        <f t="shared" si="2"/>
        <v>80</v>
      </c>
      <c r="K11" s="10">
        <f t="shared" si="1"/>
        <v>10</v>
      </c>
      <c r="S11" s="22"/>
      <c r="T11" s="22"/>
      <c r="U11" s="22"/>
      <c r="V11" s="22"/>
      <c r="W11" s="22"/>
    </row>
    <row r="12" spans="1:23" ht="35.25" customHeight="1">
      <c r="A12" s="42"/>
      <c r="B12" s="19">
        <v>2317693</v>
      </c>
      <c r="C12" s="1" t="s">
        <v>56</v>
      </c>
      <c r="D12" s="36"/>
      <c r="E12" s="17">
        <v>1200</v>
      </c>
      <c r="F12" s="17"/>
      <c r="G12" s="16">
        <f t="shared" si="0"/>
        <v>1200</v>
      </c>
      <c r="H12" s="11">
        <v>60</v>
      </c>
      <c r="I12" s="11"/>
      <c r="J12" s="10">
        <f t="shared" si="2"/>
        <v>60</v>
      </c>
      <c r="K12" s="10">
        <f t="shared" si="1"/>
        <v>5</v>
      </c>
      <c r="S12" s="22"/>
      <c r="T12" s="22"/>
      <c r="U12" s="22"/>
      <c r="V12" s="22"/>
      <c r="W12" s="22"/>
    </row>
    <row r="13" spans="1:23" ht="42" customHeight="1">
      <c r="A13" s="42"/>
      <c r="B13" s="19">
        <v>2318410</v>
      </c>
      <c r="C13" s="1" t="s">
        <v>57</v>
      </c>
      <c r="D13" s="36"/>
      <c r="E13" s="17">
        <v>30350</v>
      </c>
      <c r="F13" s="17">
        <v>1000</v>
      </c>
      <c r="G13" s="16">
        <f t="shared" si="0"/>
        <v>31350</v>
      </c>
      <c r="H13" s="11">
        <f>1423.8+525+3.9+976+270+1259.7+358.4+1159+252.4+850.5+1628.9+34+966.8+391.5+1284.6+363.7</f>
        <v>11748.199999999999</v>
      </c>
      <c r="I13" s="11">
        <v>214</v>
      </c>
      <c r="J13" s="10">
        <f t="shared" si="2"/>
        <v>11962.199999999999</v>
      </c>
      <c r="K13" s="10">
        <f t="shared" si="1"/>
        <v>38.156937799043064</v>
      </c>
      <c r="S13" s="22"/>
      <c r="T13" s="22"/>
      <c r="U13" s="22"/>
      <c r="V13" s="22"/>
      <c r="W13" s="22"/>
    </row>
    <row r="14" spans="1:23" ht="35.25" customHeight="1">
      <c r="A14" s="42"/>
      <c r="B14" s="19">
        <v>2318420</v>
      </c>
      <c r="C14" s="1" t="s">
        <v>58</v>
      </c>
      <c r="D14" s="36"/>
      <c r="E14" s="17">
        <v>5365</v>
      </c>
      <c r="F14" s="17"/>
      <c r="G14" s="16">
        <f t="shared" si="0"/>
        <v>5365</v>
      </c>
      <c r="H14" s="11">
        <f>50+265.7+52.7+76.9+17.3+18.7</f>
        <v>481.29999999999995</v>
      </c>
      <c r="I14" s="11"/>
      <c r="J14" s="10">
        <f t="shared" si="2"/>
        <v>481.29999999999995</v>
      </c>
      <c r="K14" s="10">
        <f t="shared" si="1"/>
        <v>8.9711090400745572</v>
      </c>
      <c r="S14" s="22"/>
      <c r="T14" s="22"/>
      <c r="U14" s="22"/>
      <c r="V14" s="22"/>
      <c r="W14" s="22"/>
    </row>
    <row r="15" spans="1:23" ht="52.5" customHeight="1">
      <c r="A15" s="42">
        <v>3</v>
      </c>
      <c r="B15" s="1"/>
      <c r="C15" s="20" t="s">
        <v>0</v>
      </c>
      <c r="D15" s="18" t="s">
        <v>16</v>
      </c>
      <c r="E15" s="16">
        <f>E16+E17+E19+E20+E18</f>
        <v>38345.599999999999</v>
      </c>
      <c r="F15" s="16">
        <f>F16+F17+F19+F20+F18</f>
        <v>222682.9</v>
      </c>
      <c r="G15" s="16">
        <f t="shared" si="0"/>
        <v>261028.5</v>
      </c>
      <c r="H15" s="16">
        <f>H16+H17+H19+H20+H18</f>
        <v>2395.3000000000002</v>
      </c>
      <c r="I15" s="16">
        <f>I16+I17+I19+I20+I18</f>
        <v>93749.6</v>
      </c>
      <c r="J15" s="10">
        <f t="shared" si="2"/>
        <v>96144.900000000009</v>
      </c>
      <c r="K15" s="10">
        <f t="shared" si="1"/>
        <v>36.833104431125342</v>
      </c>
      <c r="S15" s="22" t="b">
        <f>IF(K15=100,J15)</f>
        <v>0</v>
      </c>
      <c r="T15" s="22" t="b">
        <f>IF(AND(70&lt;=K15,100&gt;K15),J15)</f>
        <v>0</v>
      </c>
      <c r="U15" s="22">
        <f>IF(AND(30&lt;=K15,70&gt;K15),J15)</f>
        <v>96144.900000000009</v>
      </c>
      <c r="V15" s="22" t="b">
        <f>IF(AND(0&lt;K15,30&gt;K15),J15)</f>
        <v>0</v>
      </c>
      <c r="W15" s="22" t="b">
        <f>IF(K15=0,0)</f>
        <v>0</v>
      </c>
    </row>
    <row r="16" spans="1:23" ht="51" customHeight="1">
      <c r="A16" s="42"/>
      <c r="B16" s="19" t="s">
        <v>121</v>
      </c>
      <c r="C16" s="1" t="s">
        <v>122</v>
      </c>
      <c r="D16" s="36" t="s">
        <v>18</v>
      </c>
      <c r="E16" s="17">
        <f>58519-25247.4-256.2</f>
        <v>33015.4</v>
      </c>
      <c r="F16" s="17">
        <f>167180.5+25247.4+30255</f>
        <v>222682.9</v>
      </c>
      <c r="G16" s="16">
        <f t="shared" si="0"/>
        <v>255698.3</v>
      </c>
      <c r="H16" s="11">
        <f>16+32.4</f>
        <v>48.4</v>
      </c>
      <c r="I16" s="11">
        <f>18298+24733.5+26000+158.1+17195+7365</f>
        <v>93749.6</v>
      </c>
      <c r="J16" s="10">
        <f t="shared" si="2"/>
        <v>93798</v>
      </c>
      <c r="K16" s="10">
        <f t="shared" ref="K16:K22" si="3">J16/G16*100</f>
        <v>36.683075327446453</v>
      </c>
      <c r="S16" s="22"/>
      <c r="T16" s="22"/>
      <c r="U16" s="22"/>
      <c r="V16" s="22"/>
      <c r="W16" s="22"/>
    </row>
    <row r="17" spans="1:23" ht="75" hidden="1" customHeight="1">
      <c r="A17" s="42"/>
      <c r="B17" s="19" t="s">
        <v>107</v>
      </c>
      <c r="C17" s="28"/>
      <c r="D17" s="36"/>
      <c r="E17" s="17"/>
      <c r="F17" s="17"/>
      <c r="G17" s="16">
        <f t="shared" si="0"/>
        <v>0</v>
      </c>
      <c r="H17" s="11"/>
      <c r="I17" s="11"/>
      <c r="J17" s="10">
        <f t="shared" si="2"/>
        <v>0</v>
      </c>
      <c r="K17" s="10" t="e">
        <f t="shared" si="3"/>
        <v>#DIV/0!</v>
      </c>
      <c r="S17" s="22"/>
      <c r="T17" s="22"/>
      <c r="U17" s="22"/>
      <c r="V17" s="22"/>
      <c r="W17" s="22"/>
    </row>
    <row r="18" spans="1:23" ht="75" customHeight="1">
      <c r="A18" s="42"/>
      <c r="B18" s="19" t="s">
        <v>107</v>
      </c>
      <c r="C18" s="1" t="s">
        <v>173</v>
      </c>
      <c r="D18" s="36"/>
      <c r="E18" s="17">
        <v>256.2</v>
      </c>
      <c r="F18" s="17"/>
      <c r="G18" s="16">
        <f t="shared" si="0"/>
        <v>256.2</v>
      </c>
      <c r="H18" s="11">
        <v>256.2</v>
      </c>
      <c r="I18" s="11"/>
      <c r="J18" s="10">
        <f t="shared" si="2"/>
        <v>256.2</v>
      </c>
      <c r="K18" s="10">
        <f t="shared" si="3"/>
        <v>100</v>
      </c>
      <c r="S18" s="22"/>
      <c r="T18" s="22"/>
      <c r="U18" s="22"/>
      <c r="V18" s="22"/>
      <c r="W18" s="22"/>
    </row>
    <row r="19" spans="1:23" ht="149.25" customHeight="1">
      <c r="A19" s="42"/>
      <c r="B19" s="19" t="s">
        <v>157</v>
      </c>
      <c r="C19" s="1" t="s">
        <v>123</v>
      </c>
      <c r="D19" s="36"/>
      <c r="E19" s="17">
        <v>5074</v>
      </c>
      <c r="F19" s="17"/>
      <c r="G19" s="16">
        <f t="shared" si="0"/>
        <v>5074</v>
      </c>
      <c r="H19" s="11">
        <f>234.6+314+192.3+188.3+122.8+90.4+22+107.9+176.5+476.7+165.2</f>
        <v>2090.7000000000003</v>
      </c>
      <c r="I19" s="11"/>
      <c r="J19" s="10">
        <f t="shared" si="2"/>
        <v>2090.7000000000003</v>
      </c>
      <c r="K19" s="10">
        <f t="shared" si="3"/>
        <v>41.204178163184871</v>
      </c>
      <c r="S19" s="22"/>
      <c r="T19" s="22"/>
      <c r="U19" s="22"/>
      <c r="V19" s="22"/>
      <c r="W19" s="22"/>
    </row>
    <row r="20" spans="1:23" ht="75" hidden="1" customHeight="1">
      <c r="A20" s="42"/>
      <c r="B20" s="19" t="s">
        <v>96</v>
      </c>
      <c r="C20" s="28"/>
      <c r="D20" s="36"/>
      <c r="E20" s="17"/>
      <c r="F20" s="17"/>
      <c r="G20" s="16">
        <f t="shared" si="0"/>
        <v>0</v>
      </c>
      <c r="H20" s="11"/>
      <c r="I20" s="11"/>
      <c r="J20" s="10">
        <f t="shared" si="2"/>
        <v>0</v>
      </c>
      <c r="K20" s="10" t="e">
        <f t="shared" si="3"/>
        <v>#DIV/0!</v>
      </c>
      <c r="S20" s="22"/>
      <c r="T20" s="22"/>
      <c r="U20" s="22"/>
      <c r="V20" s="22"/>
      <c r="W20" s="22"/>
    </row>
    <row r="21" spans="1:23" ht="103.5" customHeight="1">
      <c r="A21" s="6">
        <v>4</v>
      </c>
      <c r="B21" s="19" t="s">
        <v>124</v>
      </c>
      <c r="C21" s="20" t="s">
        <v>125</v>
      </c>
      <c r="D21" s="1" t="s">
        <v>11</v>
      </c>
      <c r="E21" s="21">
        <v>82181.7</v>
      </c>
      <c r="F21" s="17">
        <f>165020.8-320</f>
        <v>164700.79999999999</v>
      </c>
      <c r="G21" s="16">
        <f>E21+F21</f>
        <v>246882.5</v>
      </c>
      <c r="H21" s="11">
        <f>3559+6.1+2967.1+3532.3+222.6+10022.8+116.8+125.3+844.7+239.8+802.7+2.8+919.7+797.105+698.4+2085.5+4197.1</f>
        <v>31139.805</v>
      </c>
      <c r="I21" s="11">
        <f>66134.6+444</f>
        <v>66578.600000000006</v>
      </c>
      <c r="J21" s="10">
        <f>H21+I21</f>
        <v>97718.404999999999</v>
      </c>
      <c r="K21" s="10">
        <f t="shared" si="3"/>
        <v>39.580936275353665</v>
      </c>
      <c r="S21" s="22" t="b">
        <f>IF(K21=100,J21)</f>
        <v>0</v>
      </c>
      <c r="T21" s="22" t="b">
        <f>IF(AND(70&lt;=K21,100&gt;K21),J21)</f>
        <v>0</v>
      </c>
      <c r="U21" s="22">
        <f>IF(AND(30&lt;=K21,70&gt;K21),J21)</f>
        <v>97718.404999999999</v>
      </c>
      <c r="V21" s="22" t="b">
        <f>IF(AND(0&lt;K21,30&gt;K21),J21)</f>
        <v>0</v>
      </c>
      <c r="W21" s="22" t="b">
        <f>IF(K21=0,0)</f>
        <v>0</v>
      </c>
    </row>
    <row r="22" spans="1:23" ht="89.25" customHeight="1">
      <c r="A22" s="42">
        <v>5</v>
      </c>
      <c r="B22" s="19"/>
      <c r="C22" s="20" t="s">
        <v>23</v>
      </c>
      <c r="D22" s="18" t="s">
        <v>16</v>
      </c>
      <c r="E22" s="16">
        <f>E23+E24+E25+E27+E26</f>
        <v>60500</v>
      </c>
      <c r="F22" s="10">
        <f>F23+F24+F25+F27+F26</f>
        <v>0</v>
      </c>
      <c r="G22" s="16">
        <f>E22+F22</f>
        <v>60500</v>
      </c>
      <c r="H22" s="10">
        <f>H23+H24+H25+H27+H26</f>
        <v>10551.579000000002</v>
      </c>
      <c r="I22" s="10">
        <f>I23+I24+I25+I27+I26</f>
        <v>0</v>
      </c>
      <c r="J22" s="10">
        <f t="shared" si="2"/>
        <v>10551.579000000002</v>
      </c>
      <c r="K22" s="10">
        <f t="shared" si="3"/>
        <v>17.440626446280994</v>
      </c>
      <c r="S22" s="22" t="b">
        <f>IF(K22=100,J22)</f>
        <v>0</v>
      </c>
      <c r="T22" s="22" t="b">
        <f>IF(AND(70&lt;=K22,100&gt;K22),J22)</f>
        <v>0</v>
      </c>
      <c r="U22" s="22" t="b">
        <f>IF(AND(30&lt;=K22,70&gt;K22),J22)</f>
        <v>0</v>
      </c>
      <c r="V22" s="22">
        <f>IF(AND(0&lt;K22,30&gt;K22),J22)</f>
        <v>10551.579000000002</v>
      </c>
      <c r="W22" s="22" t="b">
        <f>IF(K22=0,0)</f>
        <v>0</v>
      </c>
    </row>
    <row r="23" spans="1:23" ht="54" customHeight="1">
      <c r="A23" s="42"/>
      <c r="B23" s="19" t="s">
        <v>126</v>
      </c>
      <c r="C23" s="1" t="s">
        <v>59</v>
      </c>
      <c r="D23" s="36" t="s">
        <v>128</v>
      </c>
      <c r="E23" s="17">
        <v>1500</v>
      </c>
      <c r="F23" s="17"/>
      <c r="G23" s="16">
        <f t="shared" si="0"/>
        <v>1500</v>
      </c>
      <c r="H23" s="11"/>
      <c r="I23" s="11"/>
      <c r="J23" s="10">
        <f t="shared" si="2"/>
        <v>0</v>
      </c>
      <c r="K23" s="10">
        <f>J23/G23*K23110</f>
        <v>0</v>
      </c>
      <c r="S23" s="22"/>
      <c r="T23" s="22"/>
      <c r="U23" s="22"/>
      <c r="V23" s="22"/>
      <c r="W23" s="22"/>
    </row>
    <row r="24" spans="1:23" ht="89.25" customHeight="1">
      <c r="A24" s="42"/>
      <c r="B24" s="19" t="s">
        <v>74</v>
      </c>
      <c r="C24" s="1" t="s">
        <v>60</v>
      </c>
      <c r="D24" s="36"/>
      <c r="E24" s="17">
        <v>500</v>
      </c>
      <c r="F24" s="17"/>
      <c r="G24" s="16">
        <f t="shared" si="0"/>
        <v>500</v>
      </c>
      <c r="H24" s="11"/>
      <c r="I24" s="11"/>
      <c r="J24" s="10">
        <f t="shared" si="2"/>
        <v>0</v>
      </c>
      <c r="K24" s="10">
        <f>J24/G24*100</f>
        <v>0</v>
      </c>
      <c r="S24" s="22"/>
      <c r="T24" s="22"/>
      <c r="U24" s="22"/>
      <c r="V24" s="22"/>
      <c r="W24" s="22"/>
    </row>
    <row r="25" spans="1:23" ht="70.5" customHeight="1">
      <c r="A25" s="42"/>
      <c r="B25" s="19" t="s">
        <v>76</v>
      </c>
      <c r="C25" s="1" t="s">
        <v>61</v>
      </c>
      <c r="D25" s="36"/>
      <c r="E25" s="17">
        <f>47795+7000</f>
        <v>54795</v>
      </c>
      <c r="F25" s="17"/>
      <c r="G25" s="16">
        <f t="shared" si="0"/>
        <v>54795</v>
      </c>
      <c r="H25" s="11">
        <f>507.3+215.5+1489.46+138.2+99.6+1216+1635.99+593.8+535.2+2043.9+9.1+9.159+175.37+1786.7+96.3</f>
        <v>10551.579000000002</v>
      </c>
      <c r="I25" s="11"/>
      <c r="J25" s="10">
        <f t="shared" si="2"/>
        <v>10551.579000000002</v>
      </c>
      <c r="K25" s="10">
        <f t="shared" ref="K25:K34" si="4">J25/G25*100</f>
        <v>19.256463180947168</v>
      </c>
      <c r="S25" s="22"/>
      <c r="T25" s="22"/>
      <c r="U25" s="22"/>
      <c r="V25" s="22"/>
      <c r="W25" s="22"/>
    </row>
    <row r="26" spans="1:23" ht="69" customHeight="1">
      <c r="A26" s="42"/>
      <c r="B26" s="19" t="s">
        <v>73</v>
      </c>
      <c r="C26" s="1" t="s">
        <v>127</v>
      </c>
      <c r="D26" s="36"/>
      <c r="E26" s="17">
        <v>1500</v>
      </c>
      <c r="F26" s="17"/>
      <c r="G26" s="16">
        <f t="shared" si="0"/>
        <v>1500</v>
      </c>
      <c r="H26" s="11"/>
      <c r="I26" s="11"/>
      <c r="J26" s="10">
        <f t="shared" si="2"/>
        <v>0</v>
      </c>
      <c r="K26" s="10">
        <f t="shared" si="4"/>
        <v>0</v>
      </c>
      <c r="S26" s="22"/>
      <c r="T26" s="22"/>
      <c r="U26" s="22"/>
      <c r="V26" s="22"/>
      <c r="W26" s="22"/>
    </row>
    <row r="27" spans="1:23" ht="54" customHeight="1">
      <c r="A27" s="42"/>
      <c r="B27" s="19" t="s">
        <v>75</v>
      </c>
      <c r="C27" s="1" t="s">
        <v>62</v>
      </c>
      <c r="D27" s="36"/>
      <c r="E27" s="17">
        <v>2205</v>
      </c>
      <c r="F27" s="17"/>
      <c r="G27" s="16">
        <f t="shared" si="0"/>
        <v>2205</v>
      </c>
      <c r="H27" s="11"/>
      <c r="I27" s="11"/>
      <c r="J27" s="10">
        <f t="shared" si="2"/>
        <v>0</v>
      </c>
      <c r="K27" s="10">
        <f t="shared" si="4"/>
        <v>0</v>
      </c>
      <c r="S27" s="22"/>
      <c r="T27" s="22"/>
      <c r="U27" s="22"/>
      <c r="V27" s="22"/>
      <c r="W27" s="22"/>
    </row>
    <row r="28" spans="1:23" ht="139.5" customHeight="1">
      <c r="A28" s="42">
        <v>6</v>
      </c>
      <c r="B28" s="19"/>
      <c r="C28" s="20" t="s">
        <v>24</v>
      </c>
      <c r="D28" s="18" t="s">
        <v>16</v>
      </c>
      <c r="E28" s="16">
        <f>E29+E30+E31</f>
        <v>34939.300000000003</v>
      </c>
      <c r="F28" s="16">
        <f>F29+F30+F31</f>
        <v>750</v>
      </c>
      <c r="G28" s="16">
        <f>E28+F28</f>
        <v>35689.300000000003</v>
      </c>
      <c r="H28" s="10">
        <f>H29+H30+H31</f>
        <v>7597.52</v>
      </c>
      <c r="I28" s="10">
        <f>I29+I30+I31</f>
        <v>0</v>
      </c>
      <c r="J28" s="10">
        <f>H28+I28</f>
        <v>7597.52</v>
      </c>
      <c r="K28" s="10">
        <f t="shared" si="4"/>
        <v>21.28794904915479</v>
      </c>
      <c r="S28" s="22" t="b">
        <f>IF(K28=100,J28)</f>
        <v>0</v>
      </c>
      <c r="T28" s="22" t="b">
        <f>IF(AND(70&lt;=K28,100&gt;K28),J28)</f>
        <v>0</v>
      </c>
      <c r="U28" s="22" t="b">
        <f>IF(AND(30&lt;=K28,70&gt;K28),J28)</f>
        <v>0</v>
      </c>
      <c r="V28" s="22">
        <f>IF(AND(0&lt;K28,30&gt;K28),J28)</f>
        <v>7597.52</v>
      </c>
      <c r="W28" s="22" t="b">
        <f>IF(K28=0,0)</f>
        <v>0</v>
      </c>
    </row>
    <row r="29" spans="1:23" ht="61.5" customHeight="1">
      <c r="A29" s="42"/>
      <c r="B29" s="19" t="s">
        <v>76</v>
      </c>
      <c r="C29" s="1" t="s">
        <v>61</v>
      </c>
      <c r="D29" s="36" t="s">
        <v>2</v>
      </c>
      <c r="E29" s="17">
        <v>24739</v>
      </c>
      <c r="F29" s="17"/>
      <c r="G29" s="16">
        <f t="shared" si="0"/>
        <v>24739</v>
      </c>
      <c r="H29" s="11">
        <f>2004.2+1281.6+945.8+249.7+1653+27-1068.7+569.5+40.5+789+789+668.62-675.3+237</f>
        <v>7510.92</v>
      </c>
      <c r="I29" s="11"/>
      <c r="J29" s="10">
        <f t="shared" si="2"/>
        <v>7510.92</v>
      </c>
      <c r="K29" s="10">
        <f t="shared" si="4"/>
        <v>30.360645135211612</v>
      </c>
      <c r="S29" s="22"/>
      <c r="T29" s="22"/>
      <c r="U29" s="22"/>
      <c r="V29" s="22"/>
      <c r="W29" s="22"/>
    </row>
    <row r="30" spans="1:23" ht="57.75" customHeight="1">
      <c r="A30" s="42"/>
      <c r="B30" s="19" t="s">
        <v>75</v>
      </c>
      <c r="C30" s="1" t="s">
        <v>129</v>
      </c>
      <c r="D30" s="36"/>
      <c r="E30" s="17">
        <v>10200.299999999999</v>
      </c>
      <c r="F30" s="17"/>
      <c r="G30" s="16">
        <f t="shared" si="0"/>
        <v>10200.299999999999</v>
      </c>
      <c r="H30" s="11">
        <f>72+14.6</f>
        <v>86.6</v>
      </c>
      <c r="I30" s="11"/>
      <c r="J30" s="10">
        <f t="shared" si="2"/>
        <v>86.6</v>
      </c>
      <c r="K30" s="10">
        <f t="shared" si="4"/>
        <v>0.84899463741262504</v>
      </c>
      <c r="S30" s="22"/>
      <c r="T30" s="22"/>
      <c r="U30" s="22"/>
      <c r="V30" s="22"/>
      <c r="W30" s="22"/>
    </row>
    <row r="31" spans="1:23" ht="57" customHeight="1">
      <c r="A31" s="42"/>
      <c r="B31" s="19">
        <v>1517330</v>
      </c>
      <c r="C31" s="1" t="s">
        <v>130</v>
      </c>
      <c r="D31" s="1" t="s">
        <v>20</v>
      </c>
      <c r="E31" s="17"/>
      <c r="F31" s="17">
        <v>750</v>
      </c>
      <c r="G31" s="16">
        <f t="shared" si="0"/>
        <v>750</v>
      </c>
      <c r="H31" s="11"/>
      <c r="I31" s="11"/>
      <c r="J31" s="10">
        <f t="shared" si="2"/>
        <v>0</v>
      </c>
      <c r="K31" s="10">
        <f t="shared" si="4"/>
        <v>0</v>
      </c>
      <c r="S31" s="22"/>
      <c r="T31" s="22"/>
      <c r="U31" s="22"/>
      <c r="V31" s="22"/>
      <c r="W31" s="22"/>
    </row>
    <row r="32" spans="1:23" ht="121.5" customHeight="1">
      <c r="A32" s="6">
        <v>7</v>
      </c>
      <c r="B32" s="19" t="s">
        <v>131</v>
      </c>
      <c r="C32" s="20" t="s">
        <v>25</v>
      </c>
      <c r="D32" s="1" t="s">
        <v>13</v>
      </c>
      <c r="E32" s="17"/>
      <c r="F32" s="17">
        <v>7000</v>
      </c>
      <c r="G32" s="16">
        <f t="shared" si="0"/>
        <v>7000</v>
      </c>
      <c r="H32" s="11"/>
      <c r="I32" s="11">
        <v>248.1</v>
      </c>
      <c r="J32" s="10">
        <f t="shared" si="2"/>
        <v>248.1</v>
      </c>
      <c r="K32" s="10">
        <f t="shared" si="4"/>
        <v>3.5442857142857145</v>
      </c>
      <c r="S32" s="22" t="b">
        <f>IF(K32=100,J32)</f>
        <v>0</v>
      </c>
      <c r="T32" s="22" t="b">
        <f>IF(AND(70&lt;=K32,100&gt;K32),J32)</f>
        <v>0</v>
      </c>
      <c r="U32" s="22" t="b">
        <f>IF(AND(30&lt;=K32,70&gt;K32),J32)</f>
        <v>0</v>
      </c>
      <c r="V32" s="22">
        <f>IF(AND(0&lt;K32,30&gt;K32),J32)</f>
        <v>248.1</v>
      </c>
      <c r="W32" s="22" t="b">
        <f>IF(K32=0,0)</f>
        <v>0</v>
      </c>
    </row>
    <row r="33" spans="1:23" ht="87.75" customHeight="1">
      <c r="A33" s="42">
        <v>8</v>
      </c>
      <c r="B33" s="1"/>
      <c r="C33" s="20" t="s">
        <v>155</v>
      </c>
      <c r="D33" s="18" t="s">
        <v>16</v>
      </c>
      <c r="E33" s="16">
        <f>E34+E35</f>
        <v>10000</v>
      </c>
      <c r="F33" s="16">
        <f>F34+F35</f>
        <v>0</v>
      </c>
      <c r="G33" s="16">
        <f>E33+F33</f>
        <v>10000</v>
      </c>
      <c r="H33" s="10">
        <f>H34+H35</f>
        <v>302</v>
      </c>
      <c r="I33" s="10">
        <f>I34+I35</f>
        <v>0</v>
      </c>
      <c r="J33" s="10">
        <f>H33+I33</f>
        <v>302</v>
      </c>
      <c r="K33" s="10">
        <f t="shared" si="4"/>
        <v>3.02</v>
      </c>
      <c r="S33" s="22" t="b">
        <f>IF(K33=100,J33)</f>
        <v>0</v>
      </c>
      <c r="T33" s="22" t="b">
        <f>IF(AND(70&lt;=K33,100&gt;K33),J33)</f>
        <v>0</v>
      </c>
      <c r="U33" s="22" t="b">
        <f>IF(AND(30&lt;=K33,70&gt;K33),J33)</f>
        <v>0</v>
      </c>
      <c r="V33" s="22">
        <f>IF(AND(0&lt;K33,30&gt;K33),J33)</f>
        <v>302</v>
      </c>
      <c r="W33" s="22" t="b">
        <f>IF(K33=0,0)</f>
        <v>0</v>
      </c>
    </row>
    <row r="34" spans="1:23" ht="64.5" customHeight="1">
      <c r="A34" s="42"/>
      <c r="B34" s="19" t="s">
        <v>77</v>
      </c>
      <c r="C34" s="1" t="s">
        <v>102</v>
      </c>
      <c r="D34" s="36" t="s">
        <v>26</v>
      </c>
      <c r="E34" s="17">
        <v>10000</v>
      </c>
      <c r="F34" s="17"/>
      <c r="G34" s="16">
        <f t="shared" si="0"/>
        <v>10000</v>
      </c>
      <c r="H34" s="11">
        <f>75+95+32+25+30+45</f>
        <v>302</v>
      </c>
      <c r="I34" s="11"/>
      <c r="J34" s="10">
        <f t="shared" si="2"/>
        <v>302</v>
      </c>
      <c r="K34" s="10">
        <f t="shared" si="4"/>
        <v>3.02</v>
      </c>
      <c r="S34" s="22"/>
      <c r="T34" s="22"/>
      <c r="U34" s="22"/>
      <c r="V34" s="22"/>
      <c r="W34" s="22"/>
    </row>
    <row r="35" spans="1:23" ht="51.75" hidden="1" customHeight="1">
      <c r="A35" s="42"/>
      <c r="B35" s="19" t="s">
        <v>98</v>
      </c>
      <c r="C35" s="28"/>
      <c r="D35" s="36"/>
      <c r="E35" s="17">
        <v>0</v>
      </c>
      <c r="F35" s="17"/>
      <c r="G35" s="16">
        <f t="shared" si="0"/>
        <v>0</v>
      </c>
      <c r="H35" s="11"/>
      <c r="I35" s="11"/>
      <c r="J35" s="10">
        <f t="shared" si="2"/>
        <v>0</v>
      </c>
      <c r="K35" s="10" t="e">
        <f>J35/G35*100</f>
        <v>#DIV/0!</v>
      </c>
      <c r="S35" s="22"/>
      <c r="T35" s="22"/>
      <c r="U35" s="22"/>
      <c r="V35" s="22"/>
      <c r="W35" s="22"/>
    </row>
    <row r="36" spans="1:23" ht="129" customHeight="1">
      <c r="A36" s="42">
        <v>9</v>
      </c>
      <c r="B36" s="19"/>
      <c r="C36" s="20" t="s">
        <v>139</v>
      </c>
      <c r="D36" s="18" t="s">
        <v>16</v>
      </c>
      <c r="E36" s="16">
        <f>E37+E38+E39+E40+E41</f>
        <v>4833.5</v>
      </c>
      <c r="F36" s="16">
        <f>F37+F38+F39+F40+F41</f>
        <v>27000</v>
      </c>
      <c r="G36" s="16">
        <f>E36+F36</f>
        <v>31833.5</v>
      </c>
      <c r="H36" s="10">
        <f>H37+H38+H39+H40+H41</f>
        <v>360.20000000000005</v>
      </c>
      <c r="I36" s="10">
        <f>I37+I38+I39+I40+I41</f>
        <v>0</v>
      </c>
      <c r="J36" s="10">
        <f t="shared" si="2"/>
        <v>360.20000000000005</v>
      </c>
      <c r="K36" s="10">
        <f t="shared" ref="K36:K41" si="5">J36/G36*100</f>
        <v>1.1315124004586365</v>
      </c>
      <c r="S36" s="22" t="b">
        <f>IF(K36=100,J36)</f>
        <v>0</v>
      </c>
      <c r="T36" s="22" t="b">
        <f>IF(AND(70&lt;=K36,100&gt;K36),J36)</f>
        <v>0</v>
      </c>
      <c r="U36" s="22" t="b">
        <f>IF(AND(30&lt;=K36,70&gt;K36),J36)</f>
        <v>0</v>
      </c>
      <c r="V36" s="22">
        <f>IF(AND(0&lt;K36,30&gt;K36),J36)</f>
        <v>360.20000000000005</v>
      </c>
      <c r="W36" s="22" t="b">
        <f>IF(K36=0,0)</f>
        <v>0</v>
      </c>
    </row>
    <row r="37" spans="1:23" ht="63" customHeight="1">
      <c r="A37" s="42"/>
      <c r="B37" s="19" t="s">
        <v>78</v>
      </c>
      <c r="C37" s="1" t="s">
        <v>63</v>
      </c>
      <c r="D37" s="36" t="s">
        <v>14</v>
      </c>
      <c r="E37" s="17">
        <v>2120.6</v>
      </c>
      <c r="F37" s="17"/>
      <c r="G37" s="16">
        <f t="shared" si="0"/>
        <v>2120.6</v>
      </c>
      <c r="H37" s="11">
        <f>492.6-343.9</f>
        <v>148.70000000000005</v>
      </c>
      <c r="I37" s="11"/>
      <c r="J37" s="10">
        <f>H37+I37</f>
        <v>148.70000000000005</v>
      </c>
      <c r="K37" s="10">
        <f t="shared" si="5"/>
        <v>7.0121663680090567</v>
      </c>
      <c r="S37" s="22"/>
      <c r="T37" s="22"/>
      <c r="U37" s="22"/>
      <c r="V37" s="22"/>
      <c r="W37" s="22"/>
    </row>
    <row r="38" spans="1:23" ht="61.5" customHeight="1">
      <c r="A38" s="42"/>
      <c r="B38" s="19" t="s">
        <v>79</v>
      </c>
      <c r="C38" s="1" t="s">
        <v>91</v>
      </c>
      <c r="D38" s="36"/>
      <c r="E38" s="17">
        <v>301.5</v>
      </c>
      <c r="F38" s="17"/>
      <c r="G38" s="16">
        <f t="shared" ref="G38:G73" si="6">E38+F38</f>
        <v>301.5</v>
      </c>
      <c r="H38" s="11">
        <v>26.2</v>
      </c>
      <c r="I38" s="11"/>
      <c r="J38" s="10">
        <f t="shared" si="2"/>
        <v>26.2</v>
      </c>
      <c r="K38" s="10">
        <f t="shared" si="5"/>
        <v>8.6898839137645112</v>
      </c>
      <c r="S38" s="22"/>
      <c r="T38" s="22"/>
      <c r="U38" s="22"/>
      <c r="V38" s="22"/>
      <c r="W38" s="22"/>
    </row>
    <row r="39" spans="1:23" ht="59.25" customHeight="1">
      <c r="A39" s="42"/>
      <c r="B39" s="19" t="s">
        <v>133</v>
      </c>
      <c r="C39" s="1" t="s">
        <v>132</v>
      </c>
      <c r="D39" s="36"/>
      <c r="E39" s="17"/>
      <c r="F39" s="17">
        <v>27000</v>
      </c>
      <c r="G39" s="16">
        <f t="shared" si="6"/>
        <v>27000</v>
      </c>
      <c r="H39" s="11"/>
      <c r="I39" s="11"/>
      <c r="J39" s="10">
        <f t="shared" si="2"/>
        <v>0</v>
      </c>
      <c r="K39" s="10">
        <f t="shared" si="5"/>
        <v>0</v>
      </c>
      <c r="S39" s="22"/>
      <c r="T39" s="22"/>
      <c r="U39" s="22"/>
      <c r="V39" s="22"/>
      <c r="W39" s="22"/>
    </row>
    <row r="40" spans="1:23" ht="120.75" customHeight="1">
      <c r="A40" s="42"/>
      <c r="B40" s="19" t="s">
        <v>80</v>
      </c>
      <c r="C40" s="1" t="s">
        <v>64</v>
      </c>
      <c r="D40" s="36"/>
      <c r="E40" s="17">
        <v>411.4</v>
      </c>
      <c r="F40" s="17"/>
      <c r="G40" s="16">
        <f t="shared" si="6"/>
        <v>411.4</v>
      </c>
      <c r="H40" s="11">
        <v>39</v>
      </c>
      <c r="I40" s="11"/>
      <c r="J40" s="10">
        <f t="shared" ref="J40:J77" si="7">H40+I40</f>
        <v>39</v>
      </c>
      <c r="K40" s="10">
        <f t="shared" si="5"/>
        <v>9.4798249878463796</v>
      </c>
      <c r="S40" s="22"/>
      <c r="T40" s="22"/>
      <c r="U40" s="22"/>
      <c r="V40" s="22"/>
      <c r="W40" s="22"/>
    </row>
    <row r="41" spans="1:23" ht="86.25" customHeight="1">
      <c r="A41" s="42"/>
      <c r="B41" s="19" t="s">
        <v>81</v>
      </c>
      <c r="C41" s="1" t="s">
        <v>65</v>
      </c>
      <c r="D41" s="36"/>
      <c r="E41" s="17">
        <v>2000</v>
      </c>
      <c r="F41" s="17"/>
      <c r="G41" s="16">
        <f t="shared" si="6"/>
        <v>2000</v>
      </c>
      <c r="H41" s="11">
        <f>13.4+132.9</f>
        <v>146.30000000000001</v>
      </c>
      <c r="I41" s="11"/>
      <c r="J41" s="10">
        <f>H41+I41</f>
        <v>146.30000000000001</v>
      </c>
      <c r="K41" s="10">
        <f t="shared" si="5"/>
        <v>7.3150000000000004</v>
      </c>
      <c r="S41" s="22"/>
      <c r="T41" s="22"/>
      <c r="U41" s="22"/>
      <c r="V41" s="22"/>
      <c r="W41" s="22"/>
    </row>
    <row r="42" spans="1:23" ht="117.75" hidden="1" customHeight="1">
      <c r="A42" s="42">
        <v>10</v>
      </c>
      <c r="B42" s="1"/>
      <c r="C42" s="46" t="s">
        <v>27</v>
      </c>
      <c r="D42" s="18" t="s">
        <v>16</v>
      </c>
      <c r="E42" s="16">
        <f>E43+E44</f>
        <v>0</v>
      </c>
      <c r="F42" s="16">
        <f>F43+F44</f>
        <v>0</v>
      </c>
      <c r="G42" s="16">
        <f t="shared" si="6"/>
        <v>0</v>
      </c>
      <c r="H42" s="10">
        <f>H43+H44</f>
        <v>0</v>
      </c>
      <c r="I42" s="10">
        <f>I43+I44</f>
        <v>0</v>
      </c>
      <c r="J42" s="10">
        <f t="shared" si="7"/>
        <v>0</v>
      </c>
      <c r="K42" s="10" t="e">
        <f>J42/G42*100</f>
        <v>#DIV/0!</v>
      </c>
      <c r="S42" s="22" t="e">
        <f>IF(K42=100,J42)</f>
        <v>#DIV/0!</v>
      </c>
      <c r="T42" s="22" t="e">
        <f>IF(AND(70&lt;=K42,100&gt;K42),J42)</f>
        <v>#DIV/0!</v>
      </c>
      <c r="U42" s="22" t="e">
        <f>IF(AND(30&lt;=K42,70&gt;K42),J42)</f>
        <v>#DIV/0!</v>
      </c>
      <c r="V42" s="22" t="e">
        <f>IF(AND(0&lt;K42,30&gt;K42),J42)</f>
        <v>#DIV/0!</v>
      </c>
      <c r="W42" s="22" t="e">
        <f>IF(K42=0,0,FALSE)</f>
        <v>#DIV/0!</v>
      </c>
    </row>
    <row r="43" spans="1:23" ht="117.75" hidden="1" customHeight="1">
      <c r="A43" s="42"/>
      <c r="B43" s="19" t="s">
        <v>82</v>
      </c>
      <c r="C43" s="46"/>
      <c r="D43" s="36" t="s">
        <v>28</v>
      </c>
      <c r="E43" s="17"/>
      <c r="F43" s="17"/>
      <c r="G43" s="16">
        <f t="shared" si="6"/>
        <v>0</v>
      </c>
      <c r="H43" s="11"/>
      <c r="I43" s="11"/>
      <c r="J43" s="10">
        <f t="shared" si="7"/>
        <v>0</v>
      </c>
      <c r="K43" s="10" t="e">
        <f>J43/G43*100</f>
        <v>#DIV/0!</v>
      </c>
      <c r="S43" s="22"/>
      <c r="T43" s="22"/>
      <c r="U43" s="22"/>
      <c r="V43" s="22"/>
      <c r="W43" s="22"/>
    </row>
    <row r="44" spans="1:23" ht="93" hidden="1" customHeight="1">
      <c r="A44" s="42"/>
      <c r="B44" s="19" t="s">
        <v>84</v>
      </c>
      <c r="C44" s="46"/>
      <c r="D44" s="36"/>
      <c r="E44" s="17"/>
      <c r="F44" s="17"/>
      <c r="G44" s="16">
        <f t="shared" si="6"/>
        <v>0</v>
      </c>
      <c r="H44" s="11"/>
      <c r="I44" s="11"/>
      <c r="J44" s="10">
        <f t="shared" si="7"/>
        <v>0</v>
      </c>
      <c r="K44" s="10" t="e">
        <f>J44/G44*100</f>
        <v>#DIV/0!</v>
      </c>
      <c r="S44" s="22"/>
      <c r="T44" s="22"/>
      <c r="U44" s="22"/>
      <c r="V44" s="22"/>
      <c r="W44" s="22"/>
    </row>
    <row r="45" spans="1:23" ht="105.75" customHeight="1">
      <c r="A45" s="6">
        <v>10</v>
      </c>
      <c r="B45" s="19" t="s">
        <v>83</v>
      </c>
      <c r="C45" s="20" t="s">
        <v>134</v>
      </c>
      <c r="D45" s="36" t="s">
        <v>28</v>
      </c>
      <c r="E45" s="17"/>
      <c r="F45" s="17">
        <f>14000+1722.8</f>
        <v>15722.8</v>
      </c>
      <c r="G45" s="16">
        <f>E45+F45</f>
        <v>15722.8</v>
      </c>
      <c r="H45" s="11">
        <f>1900.2-1900.2</f>
        <v>0</v>
      </c>
      <c r="I45" s="11"/>
      <c r="J45" s="10">
        <f>H45+I45</f>
        <v>0</v>
      </c>
      <c r="K45" s="10">
        <f t="shared" ref="K45:K52" si="8">J45/G45*100</f>
        <v>0</v>
      </c>
      <c r="S45" s="22" t="b">
        <f>IF(K45=100,J45)</f>
        <v>0</v>
      </c>
      <c r="T45" s="22" t="b">
        <f>IF(AND(70&lt;=K45,100&gt;K45),J45)</f>
        <v>0</v>
      </c>
      <c r="U45" s="22" t="b">
        <f>IF(AND(30&lt;=K45,70&gt;K45),J45)</f>
        <v>0</v>
      </c>
      <c r="V45" s="22" t="b">
        <f>IF(AND(0&lt;K45,30&gt;K45),J45)</f>
        <v>0</v>
      </c>
      <c r="W45" s="22">
        <f>IF(K45=0,0)</f>
        <v>0</v>
      </c>
    </row>
    <row r="46" spans="1:23" ht="114.75" customHeight="1">
      <c r="A46" s="6">
        <v>11</v>
      </c>
      <c r="B46" s="19" t="s">
        <v>83</v>
      </c>
      <c r="C46" s="20" t="s">
        <v>138</v>
      </c>
      <c r="D46" s="36"/>
      <c r="E46" s="17"/>
      <c r="F46" s="17">
        <f>12000+6146.7</f>
        <v>18146.7</v>
      </c>
      <c r="G46" s="16">
        <f>E46+F46</f>
        <v>18146.7</v>
      </c>
      <c r="H46" s="11">
        <f>702.2+274.8-977</f>
        <v>0</v>
      </c>
      <c r="I46" s="11"/>
      <c r="J46" s="10">
        <f>H46+I46</f>
        <v>0</v>
      </c>
      <c r="K46" s="10">
        <f t="shared" si="8"/>
        <v>0</v>
      </c>
      <c r="S46" s="22" t="b">
        <f>IF(K46=100,J46)</f>
        <v>0</v>
      </c>
      <c r="T46" s="22" t="b">
        <f>IF(AND(70&lt;=K46,100&gt;K46),J46)</f>
        <v>0</v>
      </c>
      <c r="U46" s="22" t="b">
        <f>IF(AND(30&lt;=K46,70&gt;K46),J46)</f>
        <v>0</v>
      </c>
      <c r="V46" s="22" t="b">
        <f>IF(AND(0&lt;K46,30&gt;K46),J46)</f>
        <v>0</v>
      </c>
      <c r="W46" s="22">
        <f>IF(K46=0,0)</f>
        <v>0</v>
      </c>
    </row>
    <row r="47" spans="1:23" ht="69" customHeight="1">
      <c r="A47" s="6">
        <v>12</v>
      </c>
      <c r="B47" s="19" t="s">
        <v>84</v>
      </c>
      <c r="C47" s="20" t="s">
        <v>135</v>
      </c>
      <c r="D47" s="36"/>
      <c r="E47" s="17">
        <v>17000</v>
      </c>
      <c r="F47" s="17"/>
      <c r="G47" s="16">
        <f>E47+F47</f>
        <v>17000</v>
      </c>
      <c r="H47" s="11"/>
      <c r="I47" s="11"/>
      <c r="J47" s="10">
        <f>H47+I47</f>
        <v>0</v>
      </c>
      <c r="K47" s="10">
        <f t="shared" si="8"/>
        <v>0</v>
      </c>
      <c r="S47" s="22" t="b">
        <f>IF(K47=100,J47)</f>
        <v>0</v>
      </c>
      <c r="T47" s="22" t="b">
        <f>IF(AND(70&lt;=K47,100&gt;K47),J47)</f>
        <v>0</v>
      </c>
      <c r="U47" s="22" t="b">
        <f>IF(AND(30&lt;=K47,70&gt;K47),J47)</f>
        <v>0</v>
      </c>
      <c r="V47" s="22" t="b">
        <f>IF(AND(0&lt;K47,30&gt;K47),J47)</f>
        <v>0</v>
      </c>
      <c r="W47" s="22">
        <f>IF(K47=0,0)</f>
        <v>0</v>
      </c>
    </row>
    <row r="48" spans="1:23" ht="76.5" customHeight="1">
      <c r="A48" s="6">
        <v>13</v>
      </c>
      <c r="B48" s="19" t="s">
        <v>85</v>
      </c>
      <c r="C48" s="20" t="s">
        <v>136</v>
      </c>
      <c r="D48" s="1" t="s">
        <v>29</v>
      </c>
      <c r="E48" s="17">
        <f>11000-500</f>
        <v>10500</v>
      </c>
      <c r="F48" s="17">
        <v>500</v>
      </c>
      <c r="G48" s="16">
        <f t="shared" si="6"/>
        <v>11000</v>
      </c>
      <c r="H48" s="11">
        <f>462.6+989.4+252.2+1515.5+76.1+150+63.5+50.206-150</f>
        <v>3409.5059999999999</v>
      </c>
      <c r="I48" s="11">
        <v>150</v>
      </c>
      <c r="J48" s="10">
        <f t="shared" si="7"/>
        <v>3559.5059999999999</v>
      </c>
      <c r="K48" s="10">
        <f t="shared" si="8"/>
        <v>32.359145454545448</v>
      </c>
      <c r="S48" s="22" t="b">
        <f>IF(K48=100,J48)</f>
        <v>0</v>
      </c>
      <c r="T48" s="22" t="b">
        <f>IF(AND(70&lt;=K48,100&gt;K48),J48)</f>
        <v>0</v>
      </c>
      <c r="U48" s="22">
        <f>IF(AND(30&lt;=K48,70&gt;K48),J48)</f>
        <v>3559.5059999999999</v>
      </c>
      <c r="V48" s="22" t="b">
        <f>IF(AND(0&lt;K48,30&gt;K48),J48)</f>
        <v>0</v>
      </c>
      <c r="W48" s="22" t="b">
        <f>IF(K48=0,0)</f>
        <v>0</v>
      </c>
    </row>
    <row r="49" spans="1:23" ht="83.25" customHeight="1">
      <c r="A49" s="32">
        <v>14</v>
      </c>
      <c r="B49" s="1"/>
      <c r="C49" s="20" t="s">
        <v>137</v>
      </c>
      <c r="D49" s="18" t="s">
        <v>16</v>
      </c>
      <c r="E49" s="16">
        <f>SUM(E52+E56+E57)</f>
        <v>300</v>
      </c>
      <c r="F49" s="16">
        <f>SUM(F52+F56+F57)</f>
        <v>29000</v>
      </c>
      <c r="G49" s="16">
        <f>SUM(E49+F49)</f>
        <v>29300</v>
      </c>
      <c r="H49" s="16">
        <f>SUM(H52+H56+H57)</f>
        <v>0</v>
      </c>
      <c r="I49" s="16">
        <f>SUM(I52+I56+I57)</f>
        <v>2998.6000000000004</v>
      </c>
      <c r="J49" s="10">
        <f>H49+I49</f>
        <v>2998.6000000000004</v>
      </c>
      <c r="K49" s="10">
        <f t="shared" si="8"/>
        <v>10.234129692832767</v>
      </c>
      <c r="S49" s="22" t="b">
        <f>IF(K49=100,J49)</f>
        <v>0</v>
      </c>
      <c r="T49" s="22" t="b">
        <f>IF(AND(70&lt;=K49,100&gt;K49),J49)</f>
        <v>0</v>
      </c>
      <c r="U49" s="22" t="b">
        <f>IF(AND(30&lt;=K49,70&gt;K49),J49)</f>
        <v>0</v>
      </c>
      <c r="V49" s="22">
        <f>IF(AND(0&lt;K49,30&gt;K49),J49)</f>
        <v>2998.6000000000004</v>
      </c>
      <c r="W49" s="22" t="b">
        <f>IF(K49=0,0)</f>
        <v>0</v>
      </c>
    </row>
    <row r="50" spans="1:23" ht="83.25" hidden="1" customHeight="1">
      <c r="A50" s="33"/>
      <c r="B50" s="27" t="s">
        <v>85</v>
      </c>
      <c r="C50" s="25" t="s">
        <v>140</v>
      </c>
      <c r="D50" s="1" t="s">
        <v>11</v>
      </c>
      <c r="E50" s="16"/>
      <c r="F50" s="16"/>
      <c r="G50" s="16"/>
      <c r="H50" s="10"/>
      <c r="I50" s="10"/>
      <c r="J50" s="10"/>
      <c r="K50" s="10"/>
      <c r="S50" s="22"/>
      <c r="T50" s="22"/>
      <c r="U50" s="22"/>
      <c r="V50" s="22"/>
      <c r="W50" s="22"/>
    </row>
    <row r="51" spans="1:23" ht="83.25" hidden="1" customHeight="1">
      <c r="A51" s="33"/>
      <c r="B51" s="27"/>
      <c r="C51" s="25"/>
      <c r="D51" s="1"/>
      <c r="E51" s="16"/>
      <c r="F51" s="16"/>
      <c r="G51" s="16"/>
      <c r="H51" s="10"/>
      <c r="I51" s="10"/>
      <c r="J51" s="10"/>
      <c r="K51" s="10"/>
      <c r="S51" s="22"/>
      <c r="T51" s="22"/>
      <c r="U51" s="22"/>
      <c r="V51" s="22"/>
      <c r="W51" s="22"/>
    </row>
    <row r="52" spans="1:23" ht="72" customHeight="1">
      <c r="A52" s="33"/>
      <c r="B52" s="35" t="s">
        <v>85</v>
      </c>
      <c r="C52" s="36" t="s">
        <v>140</v>
      </c>
      <c r="D52" s="1" t="s">
        <v>29</v>
      </c>
      <c r="E52" s="17">
        <v>300</v>
      </c>
      <c r="F52" s="17"/>
      <c r="G52" s="16">
        <f>E52+F52</f>
        <v>300</v>
      </c>
      <c r="H52" s="11"/>
      <c r="I52" s="11"/>
      <c r="J52" s="10">
        <f>H52+I52</f>
        <v>0</v>
      </c>
      <c r="K52" s="10">
        <f t="shared" si="8"/>
        <v>0</v>
      </c>
      <c r="S52" s="22"/>
      <c r="T52" s="22"/>
      <c r="U52" s="22"/>
      <c r="V52" s="22"/>
      <c r="W52" s="22"/>
    </row>
    <row r="53" spans="1:23" ht="107.25" hidden="1" customHeight="1">
      <c r="A53" s="33"/>
      <c r="B53" s="35"/>
      <c r="C53" s="36"/>
      <c r="D53" s="1" t="s">
        <v>11</v>
      </c>
      <c r="E53" s="17"/>
      <c r="F53" s="17"/>
      <c r="G53" s="16">
        <f t="shared" si="6"/>
        <v>0</v>
      </c>
      <c r="H53" s="11"/>
      <c r="I53" s="11"/>
      <c r="J53" s="10">
        <f t="shared" si="7"/>
        <v>0</v>
      </c>
      <c r="K53" s="10" t="e">
        <f t="shared" ref="K53:K59" si="9">J53/G53*100</f>
        <v>#DIV/0!</v>
      </c>
      <c r="S53" s="22"/>
      <c r="T53" s="22"/>
      <c r="U53" s="22"/>
      <c r="V53" s="22"/>
      <c r="W53" s="22"/>
    </row>
    <row r="54" spans="1:23" ht="99.75" hidden="1" customHeight="1">
      <c r="A54" s="33"/>
      <c r="B54" s="35"/>
      <c r="C54" s="36"/>
      <c r="D54" s="1" t="s">
        <v>100</v>
      </c>
      <c r="E54" s="17"/>
      <c r="F54" s="17"/>
      <c r="G54" s="16">
        <f t="shared" si="6"/>
        <v>0</v>
      </c>
      <c r="H54" s="11"/>
      <c r="I54" s="11"/>
      <c r="J54" s="10">
        <f t="shared" si="7"/>
        <v>0</v>
      </c>
      <c r="K54" s="10" t="e">
        <f t="shared" si="9"/>
        <v>#DIV/0!</v>
      </c>
      <c r="S54" s="22"/>
      <c r="T54" s="22"/>
      <c r="U54" s="22"/>
      <c r="V54" s="22"/>
      <c r="W54" s="22"/>
    </row>
    <row r="55" spans="1:23" ht="99.75" hidden="1" customHeight="1">
      <c r="A55" s="33"/>
      <c r="B55" s="35"/>
      <c r="C55" s="36"/>
      <c r="D55" s="1" t="s">
        <v>103</v>
      </c>
      <c r="E55" s="17"/>
      <c r="F55" s="17"/>
      <c r="G55" s="16">
        <f t="shared" si="6"/>
        <v>0</v>
      </c>
      <c r="H55" s="11"/>
      <c r="I55" s="11"/>
      <c r="J55" s="10">
        <f t="shared" si="7"/>
        <v>0</v>
      </c>
      <c r="K55" s="10" t="e">
        <f t="shared" si="9"/>
        <v>#DIV/0!</v>
      </c>
      <c r="S55" s="22"/>
      <c r="T55" s="22"/>
      <c r="U55" s="22"/>
      <c r="V55" s="22"/>
      <c r="W55" s="22"/>
    </row>
    <row r="56" spans="1:23" ht="38.25" customHeight="1">
      <c r="A56" s="33"/>
      <c r="B56" s="35"/>
      <c r="C56" s="36"/>
      <c r="D56" s="1" t="s">
        <v>11</v>
      </c>
      <c r="E56" s="17"/>
      <c r="F56" s="17">
        <v>25150</v>
      </c>
      <c r="G56" s="16">
        <f>E56+F56</f>
        <v>25150</v>
      </c>
      <c r="H56" s="11"/>
      <c r="I56" s="11">
        <f>1163.7+1834.9</f>
        <v>2998.6000000000004</v>
      </c>
      <c r="J56" s="10">
        <f>H56+I56</f>
        <v>2998.6000000000004</v>
      </c>
      <c r="K56" s="10">
        <f t="shared" si="9"/>
        <v>11.922862823061632</v>
      </c>
      <c r="S56" s="22"/>
      <c r="T56" s="22"/>
      <c r="U56" s="22"/>
      <c r="V56" s="22"/>
      <c r="W56" s="22"/>
    </row>
    <row r="57" spans="1:23" ht="57.75" customHeight="1">
      <c r="A57" s="34"/>
      <c r="B57" s="35"/>
      <c r="C57" s="36"/>
      <c r="D57" s="1" t="s">
        <v>26</v>
      </c>
      <c r="E57" s="17"/>
      <c r="F57" s="17">
        <v>3850</v>
      </c>
      <c r="G57" s="16">
        <f>E57+F57</f>
        <v>3850</v>
      </c>
      <c r="H57" s="11"/>
      <c r="I57" s="11"/>
      <c r="J57" s="10">
        <f>H57+I57</f>
        <v>0</v>
      </c>
      <c r="K57" s="10">
        <f t="shared" si="9"/>
        <v>0</v>
      </c>
      <c r="S57" s="22"/>
      <c r="T57" s="22"/>
      <c r="U57" s="22"/>
      <c r="V57" s="22"/>
      <c r="W57" s="22"/>
    </row>
    <row r="58" spans="1:23" ht="72.75" customHeight="1">
      <c r="A58" s="42">
        <v>15</v>
      </c>
      <c r="B58" s="19"/>
      <c r="C58" s="20" t="s">
        <v>154</v>
      </c>
      <c r="D58" s="18" t="s">
        <v>16</v>
      </c>
      <c r="E58" s="16">
        <f>E59+E60+E61+E62+E63+E64</f>
        <v>1000</v>
      </c>
      <c r="F58" s="16">
        <f>F59+F60+F61+F62+F63+F64</f>
        <v>21700</v>
      </c>
      <c r="G58" s="16">
        <f>E58+F58</f>
        <v>22700</v>
      </c>
      <c r="H58" s="16">
        <f>H59+H60+H61+H62+H63+H64</f>
        <v>0</v>
      </c>
      <c r="I58" s="16">
        <f>I59+I60+I61+I62+I63+I64</f>
        <v>1000</v>
      </c>
      <c r="J58" s="10">
        <f>H58+I58</f>
        <v>1000</v>
      </c>
      <c r="K58" s="10">
        <f t="shared" si="9"/>
        <v>4.4052863436123353</v>
      </c>
      <c r="S58" s="22" t="b">
        <f>IF(K58=100,J58)</f>
        <v>0</v>
      </c>
      <c r="T58" s="22" t="b">
        <f>IF(AND(70&lt;=K58,100&gt;K58),J58)</f>
        <v>0</v>
      </c>
      <c r="U58" s="22" t="b">
        <f>IF(AND(30&lt;=K58,70&gt;K58),J58)</f>
        <v>0</v>
      </c>
      <c r="V58" s="22">
        <f>IF(AND(0&lt;K58,30&gt;K58),J58)</f>
        <v>1000</v>
      </c>
      <c r="W58" s="22" t="b">
        <f>IF(K58=0,0)</f>
        <v>0</v>
      </c>
    </row>
    <row r="59" spans="1:23" ht="69" customHeight="1">
      <c r="A59" s="42"/>
      <c r="B59" s="19">
        <v>1617340</v>
      </c>
      <c r="C59" s="1" t="s">
        <v>66</v>
      </c>
      <c r="D59" s="29" t="s">
        <v>30</v>
      </c>
      <c r="E59" s="17">
        <f>1000-200</f>
        <v>800</v>
      </c>
      <c r="F59" s="17">
        <f>21200-900</f>
        <v>20300</v>
      </c>
      <c r="G59" s="16">
        <f t="shared" si="6"/>
        <v>21100</v>
      </c>
      <c r="H59" s="11"/>
      <c r="I59" s="11">
        <v>1000</v>
      </c>
      <c r="J59" s="10">
        <f t="shared" si="7"/>
        <v>1000</v>
      </c>
      <c r="K59" s="10">
        <f t="shared" si="9"/>
        <v>4.7393364928909953</v>
      </c>
      <c r="S59" s="22"/>
      <c r="T59" s="22"/>
      <c r="U59" s="22"/>
      <c r="V59" s="22"/>
      <c r="W59" s="22"/>
    </row>
    <row r="60" spans="1:23" ht="66" hidden="1" customHeight="1">
      <c r="A60" s="42"/>
      <c r="B60" s="19" t="s">
        <v>141</v>
      </c>
      <c r="C60" s="1" t="s">
        <v>67</v>
      </c>
      <c r="D60" s="30"/>
      <c r="E60" s="17"/>
      <c r="F60" s="17"/>
      <c r="G60" s="16">
        <f t="shared" si="6"/>
        <v>0</v>
      </c>
      <c r="H60" s="11"/>
      <c r="I60" s="11"/>
      <c r="J60" s="10">
        <f t="shared" si="7"/>
        <v>0</v>
      </c>
      <c r="K60" s="10" t="e">
        <f t="shared" ref="K60:K82" si="10">J60/G60*100</f>
        <v>#DIV/0!</v>
      </c>
      <c r="S60" s="22"/>
      <c r="T60" s="22"/>
      <c r="U60" s="22"/>
      <c r="V60" s="22"/>
      <c r="W60" s="22"/>
    </row>
    <row r="61" spans="1:23" ht="84.75" hidden="1" customHeight="1">
      <c r="A61" s="42"/>
      <c r="B61" s="19" t="s">
        <v>95</v>
      </c>
      <c r="C61" s="1" t="s">
        <v>99</v>
      </c>
      <c r="D61" s="30"/>
      <c r="E61" s="17"/>
      <c r="F61" s="17"/>
      <c r="G61" s="16">
        <f t="shared" si="6"/>
        <v>0</v>
      </c>
      <c r="H61" s="11"/>
      <c r="I61" s="11"/>
      <c r="J61" s="10">
        <f t="shared" si="7"/>
        <v>0</v>
      </c>
      <c r="K61" s="10" t="e">
        <f t="shared" si="10"/>
        <v>#DIV/0!</v>
      </c>
      <c r="S61" s="22"/>
      <c r="T61" s="22"/>
      <c r="U61" s="22"/>
      <c r="V61" s="22"/>
      <c r="W61" s="22"/>
    </row>
    <row r="62" spans="1:23" ht="62.25" customHeight="1">
      <c r="A62" s="42"/>
      <c r="B62" s="19" t="s">
        <v>163</v>
      </c>
      <c r="C62" s="1" t="s">
        <v>161</v>
      </c>
      <c r="D62" s="30"/>
      <c r="E62" s="17"/>
      <c r="F62" s="17">
        <v>900</v>
      </c>
      <c r="G62" s="16">
        <f>E62+F62</f>
        <v>900</v>
      </c>
      <c r="H62" s="11"/>
      <c r="I62" s="11"/>
      <c r="J62" s="10">
        <f t="shared" si="7"/>
        <v>0</v>
      </c>
      <c r="K62" s="10">
        <f>J62/G62*100</f>
        <v>0</v>
      </c>
      <c r="S62" s="22"/>
      <c r="T62" s="22"/>
      <c r="U62" s="22"/>
      <c r="V62" s="22"/>
      <c r="W62" s="22"/>
    </row>
    <row r="63" spans="1:23" ht="57" customHeight="1">
      <c r="A63" s="42"/>
      <c r="B63" s="19" t="s">
        <v>101</v>
      </c>
      <c r="C63" s="1" t="s">
        <v>102</v>
      </c>
      <c r="D63" s="30"/>
      <c r="E63" s="17">
        <v>200</v>
      </c>
      <c r="F63" s="17"/>
      <c r="G63" s="16">
        <f>E63+F63</f>
        <v>200</v>
      </c>
      <c r="H63" s="11"/>
      <c r="I63" s="11"/>
      <c r="J63" s="10">
        <f t="shared" si="7"/>
        <v>0</v>
      </c>
      <c r="K63" s="10">
        <f>J63/G63*100</f>
        <v>0</v>
      </c>
      <c r="S63" s="22"/>
      <c r="T63" s="22"/>
      <c r="U63" s="22"/>
      <c r="V63" s="22"/>
      <c r="W63" s="22"/>
    </row>
    <row r="64" spans="1:23" ht="63.75" customHeight="1">
      <c r="A64" s="6"/>
      <c r="B64" s="19" t="s">
        <v>169</v>
      </c>
      <c r="C64" s="1" t="s">
        <v>170</v>
      </c>
      <c r="D64" s="31"/>
      <c r="E64" s="17"/>
      <c r="F64" s="17">
        <v>500</v>
      </c>
      <c r="G64" s="16">
        <f>E64+F64</f>
        <v>500</v>
      </c>
      <c r="H64" s="11"/>
      <c r="I64" s="11"/>
      <c r="J64" s="10">
        <f t="shared" si="7"/>
        <v>0</v>
      </c>
      <c r="K64" s="10">
        <f>J64/G64*100</f>
        <v>0</v>
      </c>
      <c r="S64" s="22"/>
      <c r="T64" s="22"/>
      <c r="U64" s="22"/>
      <c r="V64" s="22"/>
      <c r="W64" s="22"/>
    </row>
    <row r="65" spans="1:23" ht="70.5" customHeight="1">
      <c r="A65" s="42">
        <v>16</v>
      </c>
      <c r="B65" s="19"/>
      <c r="C65" s="20" t="s">
        <v>31</v>
      </c>
      <c r="D65" s="18" t="s">
        <v>16</v>
      </c>
      <c r="E65" s="16">
        <f>E66+E68+E69+E67+E70</f>
        <v>4000</v>
      </c>
      <c r="F65" s="16">
        <f>F66+F69+F67+F70</f>
        <v>2300</v>
      </c>
      <c r="G65" s="16">
        <f>E65+F65</f>
        <v>6300</v>
      </c>
      <c r="H65" s="10">
        <f>H66+H68+H69+H67+H70</f>
        <v>0</v>
      </c>
      <c r="I65" s="10">
        <f>I66+I68+I69+I67+I70</f>
        <v>0</v>
      </c>
      <c r="J65" s="10">
        <f>H65+I65</f>
        <v>0</v>
      </c>
      <c r="K65" s="10">
        <f t="shared" si="10"/>
        <v>0</v>
      </c>
      <c r="S65" s="22" t="b">
        <f>IF(K65=100,J65)</f>
        <v>0</v>
      </c>
      <c r="T65" s="22" t="b">
        <f>IF(AND(70&lt;=K65,100&gt;K65),J65)</f>
        <v>0</v>
      </c>
      <c r="U65" s="22" t="b">
        <f>IF(AND(30&lt;=K65,70&gt;K65),J65)</f>
        <v>0</v>
      </c>
      <c r="V65" s="22" t="b">
        <f>IF(AND(0&lt;K65,30&gt;K65),J65)</f>
        <v>0</v>
      </c>
      <c r="W65" s="22">
        <f>IF(K65=0,0)</f>
        <v>0</v>
      </c>
    </row>
    <row r="66" spans="1:23" ht="60" customHeight="1">
      <c r="A66" s="42"/>
      <c r="B66" s="35">
        <v>1617350</v>
      </c>
      <c r="C66" s="36" t="s">
        <v>67</v>
      </c>
      <c r="D66" s="36" t="s">
        <v>30</v>
      </c>
      <c r="E66" s="17">
        <v>4000</v>
      </c>
      <c r="F66" s="17"/>
      <c r="G66" s="16">
        <f>E66+F66</f>
        <v>4000</v>
      </c>
      <c r="H66" s="11"/>
      <c r="I66" s="11"/>
      <c r="J66" s="10">
        <f>H66+I66</f>
        <v>0</v>
      </c>
      <c r="K66" s="10">
        <f t="shared" si="10"/>
        <v>0</v>
      </c>
      <c r="S66" s="22"/>
      <c r="T66" s="22"/>
      <c r="U66" s="22"/>
      <c r="V66" s="22"/>
      <c r="W66" s="22"/>
    </row>
    <row r="67" spans="1:23" ht="18.75" hidden="1" customHeight="1">
      <c r="A67" s="42"/>
      <c r="B67" s="35"/>
      <c r="C67" s="36"/>
      <c r="D67" s="36"/>
      <c r="E67" s="17"/>
      <c r="F67" s="17"/>
      <c r="G67" s="16">
        <f t="shared" si="6"/>
        <v>0</v>
      </c>
      <c r="H67" s="11"/>
      <c r="I67" s="11"/>
      <c r="J67" s="10">
        <f t="shared" si="7"/>
        <v>0</v>
      </c>
      <c r="K67" s="10" t="e">
        <f t="shared" si="10"/>
        <v>#DIV/0!</v>
      </c>
      <c r="S67" s="22"/>
      <c r="T67" s="22"/>
      <c r="U67" s="22"/>
      <c r="V67" s="22"/>
      <c r="W67" s="22"/>
    </row>
    <row r="68" spans="1:23" ht="51" hidden="1" customHeight="1">
      <c r="A68" s="42"/>
      <c r="B68" s="19">
        <v>1617693</v>
      </c>
      <c r="C68" s="1" t="s">
        <v>56</v>
      </c>
      <c r="D68" s="36"/>
      <c r="E68" s="17">
        <f>500-500</f>
        <v>0</v>
      </c>
      <c r="F68" s="17"/>
      <c r="G68" s="16">
        <f t="shared" si="6"/>
        <v>0</v>
      </c>
      <c r="H68" s="11"/>
      <c r="I68" s="11"/>
      <c r="J68" s="10">
        <f t="shared" si="7"/>
        <v>0</v>
      </c>
      <c r="K68" s="10" t="e">
        <f t="shared" si="10"/>
        <v>#DIV/0!</v>
      </c>
      <c r="S68" s="22"/>
      <c r="T68" s="22"/>
      <c r="U68" s="22"/>
      <c r="V68" s="22"/>
      <c r="W68" s="22"/>
    </row>
    <row r="69" spans="1:23" ht="44.25" customHeight="1">
      <c r="A69" s="42"/>
      <c r="B69" s="19">
        <v>1619770</v>
      </c>
      <c r="C69" s="1" t="s">
        <v>62</v>
      </c>
      <c r="D69" s="36"/>
      <c r="E69" s="17"/>
      <c r="F69" s="17">
        <v>2300</v>
      </c>
      <c r="G69" s="16">
        <f>E69+F69</f>
        <v>2300</v>
      </c>
      <c r="H69" s="11"/>
      <c r="I69" s="11"/>
      <c r="J69" s="10">
        <f>H69+I69</f>
        <v>0</v>
      </c>
      <c r="K69" s="10">
        <f t="shared" si="10"/>
        <v>0</v>
      </c>
      <c r="S69" s="22"/>
      <c r="T69" s="22"/>
      <c r="U69" s="22"/>
      <c r="V69" s="22"/>
      <c r="W69" s="22"/>
    </row>
    <row r="70" spans="1:23" ht="45" hidden="1" customHeight="1">
      <c r="A70" s="42"/>
      <c r="B70" s="19" t="s">
        <v>105</v>
      </c>
      <c r="C70" s="1" t="s">
        <v>106</v>
      </c>
      <c r="D70" s="36"/>
      <c r="E70" s="17"/>
      <c r="F70" s="17"/>
      <c r="G70" s="16">
        <f t="shared" si="6"/>
        <v>0</v>
      </c>
      <c r="H70" s="11"/>
      <c r="I70" s="11"/>
      <c r="J70" s="10">
        <f t="shared" si="7"/>
        <v>0</v>
      </c>
      <c r="K70" s="10" t="e">
        <f t="shared" si="10"/>
        <v>#DIV/0!</v>
      </c>
      <c r="S70" s="22"/>
      <c r="T70" s="22"/>
      <c r="U70" s="22"/>
      <c r="V70" s="22"/>
      <c r="W70" s="22"/>
    </row>
    <row r="71" spans="1:23" ht="82.5" customHeight="1">
      <c r="A71" s="32">
        <v>17</v>
      </c>
      <c r="B71" s="19"/>
      <c r="C71" s="20" t="s">
        <v>32</v>
      </c>
      <c r="D71" s="18" t="s">
        <v>16</v>
      </c>
      <c r="E71" s="16">
        <f>E72+E73</f>
        <v>3285</v>
      </c>
      <c r="F71" s="16">
        <f>F72+F73</f>
        <v>1215</v>
      </c>
      <c r="G71" s="16">
        <f t="shared" si="6"/>
        <v>4500</v>
      </c>
      <c r="H71" s="10">
        <f>H72+H73</f>
        <v>0</v>
      </c>
      <c r="I71" s="10">
        <f>I72+I73</f>
        <v>200</v>
      </c>
      <c r="J71" s="10">
        <f t="shared" si="7"/>
        <v>200</v>
      </c>
      <c r="K71" s="10">
        <f t="shared" si="10"/>
        <v>4.4444444444444446</v>
      </c>
      <c r="S71" s="22" t="b">
        <f>IF(K71=100,J71)</f>
        <v>0</v>
      </c>
      <c r="T71" s="22" t="b">
        <f>IF(AND(70&lt;=K71,100&gt;K71),J71)</f>
        <v>0</v>
      </c>
      <c r="U71" s="22" t="b">
        <f>IF(AND(30&lt;=K71,70&gt;K71),J71)</f>
        <v>0</v>
      </c>
      <c r="V71" s="22">
        <f>IF(AND(0&lt;K71,30&gt;K71),J71)</f>
        <v>200</v>
      </c>
      <c r="W71" s="22" t="b">
        <f>IF(K71=0,0)</f>
        <v>0</v>
      </c>
    </row>
    <row r="72" spans="1:23" ht="96" customHeight="1">
      <c r="A72" s="33"/>
      <c r="B72" s="19">
        <v>1618821</v>
      </c>
      <c r="C72" s="1" t="s">
        <v>142</v>
      </c>
      <c r="D72" s="36" t="s">
        <v>30</v>
      </c>
      <c r="E72" s="17">
        <v>1350</v>
      </c>
      <c r="F72" s="17">
        <v>215</v>
      </c>
      <c r="G72" s="16">
        <f t="shared" si="6"/>
        <v>1565</v>
      </c>
      <c r="H72" s="11"/>
      <c r="I72" s="11"/>
      <c r="J72" s="10">
        <f t="shared" si="7"/>
        <v>0</v>
      </c>
      <c r="K72" s="10">
        <f t="shared" si="10"/>
        <v>0</v>
      </c>
      <c r="S72" s="22"/>
      <c r="T72" s="22"/>
      <c r="U72" s="22"/>
      <c r="V72" s="22"/>
      <c r="W72" s="22"/>
    </row>
    <row r="73" spans="1:23" ht="57.75" customHeight="1">
      <c r="A73" s="34"/>
      <c r="B73" s="19">
        <v>1618831</v>
      </c>
      <c r="C73" s="1" t="s">
        <v>143</v>
      </c>
      <c r="D73" s="36"/>
      <c r="E73" s="17">
        <v>1935</v>
      </c>
      <c r="F73" s="17">
        <v>1000</v>
      </c>
      <c r="G73" s="16">
        <f t="shared" si="6"/>
        <v>2935</v>
      </c>
      <c r="H73" s="11"/>
      <c r="I73" s="11">
        <v>200</v>
      </c>
      <c r="J73" s="10">
        <f t="shared" si="7"/>
        <v>200</v>
      </c>
      <c r="K73" s="10">
        <f t="shared" si="10"/>
        <v>6.8143100511073254</v>
      </c>
      <c r="S73" s="22"/>
      <c r="T73" s="22"/>
      <c r="U73" s="22"/>
      <c r="V73" s="22"/>
      <c r="W73" s="22"/>
    </row>
    <row r="74" spans="1:23" ht="98.25" customHeight="1">
      <c r="A74" s="32">
        <v>18</v>
      </c>
      <c r="B74" s="19"/>
      <c r="C74" s="20" t="s">
        <v>144</v>
      </c>
      <c r="D74" s="18" t="s">
        <v>16</v>
      </c>
      <c r="E74" s="16">
        <f>E76+E79+E77+E78+E81+E75+E82</f>
        <v>361132.48658000003</v>
      </c>
      <c r="F74" s="16">
        <f>F76+F79+F77+F78+F81+F75+F82</f>
        <v>28455</v>
      </c>
      <c r="G74" s="16">
        <f>E74+F74</f>
        <v>389587.48658000003</v>
      </c>
      <c r="H74" s="10">
        <f>H76+H77+H78+H79+H81+H82</f>
        <v>27672.356</v>
      </c>
      <c r="I74" s="10">
        <f>I76+I77+I78+I79+I81+I82</f>
        <v>0</v>
      </c>
      <c r="J74" s="10">
        <f>H74+I74</f>
        <v>27672.356</v>
      </c>
      <c r="K74" s="10">
        <f t="shared" si="10"/>
        <v>7.102988918592386</v>
      </c>
      <c r="S74" s="22" t="b">
        <f>IF(K74=100,J74)</f>
        <v>0</v>
      </c>
      <c r="T74" s="22" t="b">
        <f>IF(AND(70&lt;=K74,100&gt;K74),J74)</f>
        <v>0</v>
      </c>
      <c r="U74" s="22" t="b">
        <f>IF(AND(30&lt;=K74,70&gt;K74),J74)</f>
        <v>0</v>
      </c>
      <c r="V74" s="22">
        <f>IF(AND(0&lt;K74,30&gt;K74),J74)</f>
        <v>27672.356</v>
      </c>
      <c r="W74" s="22" t="b">
        <f>IF(K74=0,0)</f>
        <v>0</v>
      </c>
    </row>
    <row r="75" spans="1:23" ht="87.75" customHeight="1">
      <c r="A75" s="33"/>
      <c r="B75" s="19" t="s">
        <v>94</v>
      </c>
      <c r="C75" s="1" t="s">
        <v>158</v>
      </c>
      <c r="D75" s="1" t="s">
        <v>33</v>
      </c>
      <c r="E75" s="17">
        <f>512.48658+3000+6820</f>
        <v>10332.486580000001</v>
      </c>
      <c r="F75" s="17">
        <f>4405+6600+1250</f>
        <v>12255</v>
      </c>
      <c r="G75" s="16">
        <f>E75+F75</f>
        <v>22587.486580000001</v>
      </c>
      <c r="H75" s="10"/>
      <c r="I75" s="10"/>
      <c r="J75" s="10">
        <f>H75+I75</f>
        <v>0</v>
      </c>
      <c r="K75" s="10">
        <f t="shared" si="10"/>
        <v>0</v>
      </c>
      <c r="S75" s="22"/>
      <c r="T75" s="22"/>
      <c r="U75" s="22"/>
      <c r="V75" s="22"/>
      <c r="W75" s="22"/>
    </row>
    <row r="76" spans="1:23" ht="80.25" customHeight="1">
      <c r="A76" s="33"/>
      <c r="B76" s="19" t="s">
        <v>93</v>
      </c>
      <c r="C76" s="1" t="s">
        <v>145</v>
      </c>
      <c r="D76" s="36" t="s">
        <v>33</v>
      </c>
      <c r="E76" s="17">
        <f>340000+27000-114220</f>
        <v>252780</v>
      </c>
      <c r="F76" s="17">
        <f>16200</f>
        <v>16200</v>
      </c>
      <c r="G76" s="16">
        <f t="shared" ref="G76:G82" si="11">E76+F76</f>
        <v>268980</v>
      </c>
      <c r="H76" s="11">
        <f>7600+760+5200+1300</f>
        <v>14860</v>
      </c>
      <c r="I76" s="11"/>
      <c r="J76" s="10">
        <f>H76+I76</f>
        <v>14860</v>
      </c>
      <c r="K76" s="10">
        <f t="shared" si="10"/>
        <v>5.524574317793145</v>
      </c>
      <c r="S76" s="22"/>
      <c r="T76" s="22"/>
      <c r="U76" s="22"/>
      <c r="V76" s="22"/>
      <c r="W76" s="22"/>
    </row>
    <row r="77" spans="1:23" ht="52.5" hidden="1" customHeight="1">
      <c r="A77" s="33"/>
      <c r="B77" s="19" t="s">
        <v>108</v>
      </c>
      <c r="C77" s="28"/>
      <c r="D77" s="36"/>
      <c r="E77" s="17"/>
      <c r="F77" s="17">
        <f>62926.1-62926.1</f>
        <v>0</v>
      </c>
      <c r="G77" s="16">
        <f t="shared" si="11"/>
        <v>0</v>
      </c>
      <c r="H77" s="11"/>
      <c r="I77" s="11"/>
      <c r="J77" s="10">
        <f t="shared" si="7"/>
        <v>0</v>
      </c>
      <c r="K77" s="10" t="e">
        <f t="shared" si="10"/>
        <v>#DIV/0!</v>
      </c>
      <c r="S77" s="22"/>
      <c r="T77" s="22"/>
      <c r="U77" s="22"/>
      <c r="V77" s="22"/>
      <c r="W77" s="22"/>
    </row>
    <row r="78" spans="1:23" ht="46.5" hidden="1" customHeight="1">
      <c r="A78" s="33"/>
      <c r="B78" s="19" t="s">
        <v>109</v>
      </c>
      <c r="C78" s="28"/>
      <c r="D78" s="36"/>
      <c r="E78" s="17"/>
      <c r="F78" s="17"/>
      <c r="G78" s="16">
        <f t="shared" si="11"/>
        <v>0</v>
      </c>
      <c r="H78" s="11"/>
      <c r="I78" s="11"/>
      <c r="J78" s="10">
        <f>H78+I78</f>
        <v>0</v>
      </c>
      <c r="K78" s="10" t="e">
        <f t="shared" si="10"/>
        <v>#DIV/0!</v>
      </c>
      <c r="S78" s="22"/>
      <c r="T78" s="22"/>
      <c r="U78" s="22"/>
      <c r="V78" s="22"/>
      <c r="W78" s="22"/>
    </row>
    <row r="79" spans="1:23" ht="45" hidden="1" customHeight="1">
      <c r="A79" s="33"/>
      <c r="B79" s="19" t="s">
        <v>94</v>
      </c>
      <c r="C79" s="28"/>
      <c r="D79" s="36"/>
      <c r="E79" s="17"/>
      <c r="F79" s="17"/>
      <c r="G79" s="16">
        <f t="shared" si="11"/>
        <v>0</v>
      </c>
      <c r="H79" s="11"/>
      <c r="I79" s="11"/>
      <c r="J79" s="10">
        <f>H79+I79</f>
        <v>0</v>
      </c>
      <c r="K79" s="10" t="e">
        <f t="shared" si="10"/>
        <v>#DIV/0!</v>
      </c>
      <c r="S79" s="22"/>
      <c r="T79" s="22"/>
      <c r="U79" s="22"/>
      <c r="V79" s="22"/>
      <c r="W79" s="22"/>
    </row>
    <row r="80" spans="1:23" ht="46.5" hidden="1" customHeight="1">
      <c r="A80" s="33"/>
      <c r="B80" s="19" t="s">
        <v>113</v>
      </c>
      <c r="C80" s="28"/>
      <c r="D80" s="1"/>
      <c r="E80" s="17"/>
      <c r="F80" s="17"/>
      <c r="G80" s="16">
        <f t="shared" si="11"/>
        <v>0</v>
      </c>
      <c r="H80" s="11"/>
      <c r="I80" s="11"/>
      <c r="J80" s="10"/>
      <c r="K80" s="10" t="e">
        <f t="shared" si="10"/>
        <v>#DIV/0!</v>
      </c>
      <c r="S80" s="22"/>
      <c r="T80" s="22"/>
      <c r="U80" s="22"/>
      <c r="V80" s="22"/>
      <c r="W80" s="22"/>
    </row>
    <row r="81" spans="1:23" ht="60" hidden="1" customHeight="1">
      <c r="A81" s="33"/>
      <c r="B81" s="19" t="s">
        <v>110</v>
      </c>
      <c r="C81" s="28"/>
      <c r="D81" s="1" t="s">
        <v>20</v>
      </c>
      <c r="E81" s="17"/>
      <c r="F81" s="17"/>
      <c r="G81" s="16">
        <f t="shared" si="11"/>
        <v>0</v>
      </c>
      <c r="H81" s="11"/>
      <c r="I81" s="11"/>
      <c r="J81" s="10">
        <f t="shared" ref="J81:J107" si="12">H81+I81</f>
        <v>0</v>
      </c>
      <c r="K81" s="10" t="s">
        <v>114</v>
      </c>
      <c r="S81" s="22"/>
      <c r="T81" s="22"/>
      <c r="U81" s="22"/>
      <c r="V81" s="22"/>
      <c r="W81" s="22"/>
    </row>
    <row r="82" spans="1:23" ht="145.5" customHeight="1">
      <c r="A82" s="34"/>
      <c r="B82" s="19" t="s">
        <v>108</v>
      </c>
      <c r="C82" s="1" t="s">
        <v>164</v>
      </c>
      <c r="D82" s="1" t="s">
        <v>33</v>
      </c>
      <c r="E82" s="17">
        <v>98020</v>
      </c>
      <c r="F82" s="17"/>
      <c r="G82" s="16">
        <f t="shared" si="11"/>
        <v>98020</v>
      </c>
      <c r="H82" s="17">
        <f>1274.4+1596.4+8941.556+1000</f>
        <v>12812.356</v>
      </c>
      <c r="I82" s="11"/>
      <c r="J82" s="10">
        <f>H82+I82</f>
        <v>12812.356</v>
      </c>
      <c r="K82" s="10">
        <f t="shared" si="10"/>
        <v>13.071165068353396</v>
      </c>
      <c r="S82" s="22"/>
      <c r="T82" s="22"/>
      <c r="U82" s="22"/>
      <c r="V82" s="22"/>
      <c r="W82" s="22"/>
    </row>
    <row r="83" spans="1:23" ht="62.25" customHeight="1">
      <c r="A83" s="6">
        <v>19</v>
      </c>
      <c r="B83" s="19" t="s">
        <v>86</v>
      </c>
      <c r="C83" s="20" t="s">
        <v>34</v>
      </c>
      <c r="D83" s="1" t="s">
        <v>15</v>
      </c>
      <c r="E83" s="17">
        <v>2000</v>
      </c>
      <c r="F83" s="17"/>
      <c r="G83" s="16">
        <f t="shared" ref="G83:G103" si="13">E83+F83</f>
        <v>2000</v>
      </c>
      <c r="H83" s="11">
        <f>38.33+13.4</f>
        <v>51.73</v>
      </c>
      <c r="I83" s="11"/>
      <c r="J83" s="10">
        <f t="shared" si="12"/>
        <v>51.73</v>
      </c>
      <c r="K83" s="10">
        <f t="shared" ref="K83:K98" si="14">J83/G83*100</f>
        <v>2.5865</v>
      </c>
      <c r="S83" s="22" t="b">
        <f>IF(K83=100,J83)</f>
        <v>0</v>
      </c>
      <c r="T83" s="22" t="b">
        <f>IF(AND(70&lt;=K83,100&gt;K83),J83)</f>
        <v>0</v>
      </c>
      <c r="U83" s="22" t="b">
        <f>IF(AND(30&lt;=K83,70&gt;K83),J83)</f>
        <v>0</v>
      </c>
      <c r="V83" s="22">
        <f>IF(AND(0&lt;K83,30&gt;K83),J83)</f>
        <v>51.73</v>
      </c>
      <c r="W83" s="22" t="b">
        <f>IF(K83=0,0)</f>
        <v>0</v>
      </c>
    </row>
    <row r="84" spans="1:23" ht="102.75" customHeight="1">
      <c r="A84" s="6">
        <v>20</v>
      </c>
      <c r="B84" s="19">
        <v>2417110</v>
      </c>
      <c r="C84" s="20" t="s">
        <v>36</v>
      </c>
      <c r="D84" s="1" t="s">
        <v>35</v>
      </c>
      <c r="E84" s="17">
        <v>18000</v>
      </c>
      <c r="F84" s="17"/>
      <c r="G84" s="16">
        <f t="shared" si="13"/>
        <v>18000</v>
      </c>
      <c r="H84" s="11">
        <f>1618.3+10+39.4</f>
        <v>1667.7</v>
      </c>
      <c r="I84" s="11"/>
      <c r="J84" s="10">
        <f t="shared" si="12"/>
        <v>1667.7</v>
      </c>
      <c r="K84" s="10">
        <f t="shared" si="14"/>
        <v>9.2649999999999988</v>
      </c>
      <c r="S84" s="22" t="b">
        <f>IF(K84=100,J84)</f>
        <v>0</v>
      </c>
      <c r="T84" s="22" t="b">
        <f>IF(AND(70&lt;=K84,100&gt;K84),J84)</f>
        <v>0</v>
      </c>
      <c r="U84" s="22" t="b">
        <f>IF(AND(30&lt;=K84,70&gt;K84),J84)</f>
        <v>0</v>
      </c>
      <c r="V84" s="22">
        <f>IF(AND(0&lt;K84,30&gt;K84),J84)</f>
        <v>1667.7</v>
      </c>
      <c r="W84" s="22" t="b">
        <f>IF(K84=0,0)</f>
        <v>0</v>
      </c>
    </row>
    <row r="85" spans="1:23" ht="108.75" customHeight="1">
      <c r="A85" s="42">
        <v>21</v>
      </c>
      <c r="B85" s="19"/>
      <c r="C85" s="20" t="s">
        <v>38</v>
      </c>
      <c r="D85" s="18" t="s">
        <v>16</v>
      </c>
      <c r="E85" s="16">
        <f>E86+E89+E87+E88</f>
        <v>3400</v>
      </c>
      <c r="F85" s="16">
        <f>F86+F89+F87+F88</f>
        <v>44840</v>
      </c>
      <c r="G85" s="16">
        <f>E85+F85</f>
        <v>48240</v>
      </c>
      <c r="H85" s="10">
        <f>H86+H89+H87+H88</f>
        <v>29.5</v>
      </c>
      <c r="I85" s="10">
        <f>I86+I89+I87+I88</f>
        <v>20168.100000000002</v>
      </c>
      <c r="J85" s="10">
        <f>H85+I85</f>
        <v>20197.600000000002</v>
      </c>
      <c r="K85" s="10">
        <f>J85/G85*100</f>
        <v>41.868988391376455</v>
      </c>
      <c r="S85" s="22" t="b">
        <f>IF(K85=100,J85)</f>
        <v>0</v>
      </c>
      <c r="T85" s="22" t="b">
        <f>IF(AND(70&lt;=K85,100&gt;K85),J85)</f>
        <v>0</v>
      </c>
      <c r="U85" s="22">
        <f>IF(AND(30&lt;=K85,70&gt;K85),J85)</f>
        <v>20197.600000000002</v>
      </c>
      <c r="V85" s="22" t="b">
        <f>IF(AND(0&lt;K85,30&gt;K85),J85)</f>
        <v>0</v>
      </c>
      <c r="W85" s="22" t="b">
        <f>IF(K85=0,0)</f>
        <v>0</v>
      </c>
    </row>
    <row r="86" spans="1:23" ht="72" customHeight="1">
      <c r="A86" s="42"/>
      <c r="B86" s="19" t="s">
        <v>90</v>
      </c>
      <c r="C86" s="1" t="s">
        <v>146</v>
      </c>
      <c r="D86" s="36" t="s">
        <v>37</v>
      </c>
      <c r="E86" s="17">
        <v>3400</v>
      </c>
      <c r="F86" s="17">
        <f>44840-22618.7</f>
        <v>22221.3</v>
      </c>
      <c r="G86" s="16">
        <f>E86+F86</f>
        <v>25621.3</v>
      </c>
      <c r="H86" s="11">
        <v>29.5</v>
      </c>
      <c r="I86" s="11"/>
      <c r="J86" s="10">
        <f>H86+I86</f>
        <v>29.5</v>
      </c>
      <c r="K86" s="10">
        <f>J86/G86*100</f>
        <v>0.11513857610659881</v>
      </c>
      <c r="S86" s="22"/>
      <c r="T86" s="22"/>
      <c r="U86" s="22"/>
      <c r="V86" s="22"/>
      <c r="W86" s="22"/>
    </row>
    <row r="87" spans="1:23" ht="77.25" hidden="1" customHeight="1">
      <c r="A87" s="42"/>
      <c r="B87" s="19" t="s">
        <v>96</v>
      </c>
      <c r="C87" s="28"/>
      <c r="D87" s="36"/>
      <c r="E87" s="17"/>
      <c r="F87" s="17"/>
      <c r="G87" s="16">
        <f t="shared" si="13"/>
        <v>0</v>
      </c>
      <c r="H87" s="11"/>
      <c r="I87" s="11"/>
      <c r="J87" s="10">
        <f t="shared" si="12"/>
        <v>0</v>
      </c>
      <c r="K87" s="10" t="e">
        <f t="shared" si="14"/>
        <v>#DIV/0!</v>
      </c>
      <c r="S87" s="22"/>
      <c r="T87" s="22"/>
      <c r="U87" s="22"/>
      <c r="V87" s="22"/>
      <c r="W87" s="22"/>
    </row>
    <row r="88" spans="1:23" ht="75.75" hidden="1" customHeight="1">
      <c r="A88" s="42"/>
      <c r="B88" s="19" t="s">
        <v>97</v>
      </c>
      <c r="C88" s="28"/>
      <c r="D88" s="36"/>
      <c r="E88" s="17"/>
      <c r="F88" s="17"/>
      <c r="G88" s="16">
        <f t="shared" si="13"/>
        <v>0</v>
      </c>
      <c r="H88" s="15"/>
      <c r="I88" s="11"/>
      <c r="J88" s="10">
        <f t="shared" si="12"/>
        <v>0</v>
      </c>
      <c r="K88" s="10" t="e">
        <f t="shared" si="14"/>
        <v>#DIV/0!</v>
      </c>
      <c r="S88" s="22"/>
      <c r="T88" s="22"/>
      <c r="U88" s="22"/>
      <c r="V88" s="22"/>
      <c r="W88" s="22"/>
    </row>
    <row r="89" spans="1:23" ht="76.5" customHeight="1">
      <c r="A89" s="42"/>
      <c r="B89" s="19" t="s">
        <v>162</v>
      </c>
      <c r="C89" s="1" t="s">
        <v>62</v>
      </c>
      <c r="D89" s="36"/>
      <c r="E89" s="17"/>
      <c r="F89" s="17">
        <v>22618.7</v>
      </c>
      <c r="G89" s="16">
        <f>E89+F89</f>
        <v>22618.7</v>
      </c>
      <c r="H89" s="11"/>
      <c r="I89" s="11">
        <f>17540+1420.7+1207.4</f>
        <v>20168.100000000002</v>
      </c>
      <c r="J89" s="10">
        <f>H89+I89</f>
        <v>20168.100000000002</v>
      </c>
      <c r="K89" s="10">
        <f>J89/G89*100</f>
        <v>89.165601913460989</v>
      </c>
      <c r="S89" s="22"/>
      <c r="T89" s="22"/>
      <c r="U89" s="22"/>
      <c r="V89" s="22"/>
      <c r="W89" s="22"/>
    </row>
    <row r="90" spans="1:23" ht="92.25" customHeight="1">
      <c r="A90" s="42">
        <v>22</v>
      </c>
      <c r="B90" s="1"/>
      <c r="C90" s="20" t="s">
        <v>39</v>
      </c>
      <c r="D90" s="18" t="s">
        <v>16</v>
      </c>
      <c r="E90" s="16">
        <f>E91+E92</f>
        <v>3000</v>
      </c>
      <c r="F90" s="16">
        <f>F91+F92</f>
        <v>1200</v>
      </c>
      <c r="G90" s="16">
        <f t="shared" si="13"/>
        <v>4200</v>
      </c>
      <c r="H90" s="10">
        <f>H91+H92</f>
        <v>144.08000000000001</v>
      </c>
      <c r="I90" s="10">
        <f>I91+I92</f>
        <v>0</v>
      </c>
      <c r="J90" s="10">
        <f t="shared" si="12"/>
        <v>144.08000000000001</v>
      </c>
      <c r="K90" s="10">
        <f t="shared" si="14"/>
        <v>3.4304761904761909</v>
      </c>
      <c r="S90" s="22" t="b">
        <f>IF(K90=100,J90)</f>
        <v>0</v>
      </c>
      <c r="T90" s="22" t="b">
        <f>IF(AND(70&lt;=K90,100&gt;K90),J90)</f>
        <v>0</v>
      </c>
      <c r="U90" s="22" t="b">
        <f>IF(AND(30&lt;=K90,70&gt;K90),J90)</f>
        <v>0</v>
      </c>
      <c r="V90" s="22">
        <f>IF(AND(0&lt;K90,30&gt;K90),J90)</f>
        <v>144.08000000000001</v>
      </c>
      <c r="W90" s="22" t="b">
        <f>IF(K90=0,0)</f>
        <v>0</v>
      </c>
    </row>
    <row r="91" spans="1:23" ht="76.5" customHeight="1">
      <c r="A91" s="42"/>
      <c r="B91" s="19">
        <v>2617622</v>
      </c>
      <c r="C91" s="1" t="s">
        <v>147</v>
      </c>
      <c r="D91" s="36" t="s">
        <v>40</v>
      </c>
      <c r="E91" s="17">
        <v>3000</v>
      </c>
      <c r="F91" s="17">
        <v>1200</v>
      </c>
      <c r="G91" s="16">
        <f t="shared" si="13"/>
        <v>4200</v>
      </c>
      <c r="H91" s="11">
        <f>90.48+53.6</f>
        <v>144.08000000000001</v>
      </c>
      <c r="I91" s="11"/>
      <c r="J91" s="10">
        <f t="shared" si="12"/>
        <v>144.08000000000001</v>
      </c>
      <c r="K91" s="10">
        <f t="shared" si="14"/>
        <v>3.4304761904761909</v>
      </c>
      <c r="S91" s="22"/>
      <c r="T91" s="22"/>
      <c r="U91" s="22"/>
      <c r="V91" s="22"/>
      <c r="W91" s="22"/>
    </row>
    <row r="92" spans="1:23" ht="45" hidden="1" customHeight="1">
      <c r="A92" s="42"/>
      <c r="B92" s="19" t="s">
        <v>92</v>
      </c>
      <c r="C92" s="28"/>
      <c r="D92" s="36"/>
      <c r="E92" s="17"/>
      <c r="F92" s="17"/>
      <c r="G92" s="16">
        <f t="shared" si="13"/>
        <v>0</v>
      </c>
      <c r="H92" s="11"/>
      <c r="I92" s="11"/>
      <c r="J92" s="10">
        <f t="shared" si="12"/>
        <v>0</v>
      </c>
      <c r="K92" s="10" t="e">
        <f t="shared" si="14"/>
        <v>#DIV/0!</v>
      </c>
      <c r="S92" s="22"/>
      <c r="T92" s="22"/>
      <c r="U92" s="22"/>
      <c r="V92" s="22"/>
      <c r="W92" s="22"/>
    </row>
    <row r="93" spans="1:23" ht="117.75" customHeight="1">
      <c r="A93" s="32">
        <v>23</v>
      </c>
      <c r="B93" s="19"/>
      <c r="C93" s="20" t="s">
        <v>148</v>
      </c>
      <c r="D93" s="18" t="s">
        <v>16</v>
      </c>
      <c r="E93" s="16">
        <f>E94+E95+E96</f>
        <v>9600</v>
      </c>
      <c r="F93" s="16">
        <f>F94+F95+F96</f>
        <v>0</v>
      </c>
      <c r="G93" s="16">
        <f t="shared" si="13"/>
        <v>9600</v>
      </c>
      <c r="H93" s="10">
        <f>H94+H95+H96</f>
        <v>4415.8</v>
      </c>
      <c r="I93" s="10">
        <f>I94+I95+I96</f>
        <v>0</v>
      </c>
      <c r="J93" s="10">
        <f t="shared" si="12"/>
        <v>4415.8</v>
      </c>
      <c r="K93" s="10">
        <f t="shared" si="14"/>
        <v>45.997916666666669</v>
      </c>
      <c r="S93" s="22" t="b">
        <f t="shared" ref="S93:S98" si="15">IF(K93=100,J93)</f>
        <v>0</v>
      </c>
      <c r="T93" s="22" t="b">
        <f t="shared" ref="T93:T98" si="16">IF(AND(70&lt;=K93,100&gt;K93),J93)</f>
        <v>0</v>
      </c>
      <c r="U93" s="22">
        <f t="shared" ref="U93:U98" si="17">IF(AND(30&lt;=K93,70&gt;K93),J93)</f>
        <v>4415.8</v>
      </c>
      <c r="V93" s="22" t="b">
        <f t="shared" ref="V93:V98" si="18">IF(AND(0&lt;K93,30&gt;K93),J93)</f>
        <v>0</v>
      </c>
      <c r="W93" s="22" t="b">
        <f t="shared" ref="W93:W98" si="19">IF(K93=0,0)</f>
        <v>0</v>
      </c>
    </row>
    <row r="94" spans="1:23" ht="55.5" customHeight="1">
      <c r="A94" s="33"/>
      <c r="B94" s="19">
        <v>2717150</v>
      </c>
      <c r="C94" s="1" t="s">
        <v>149</v>
      </c>
      <c r="D94" s="36" t="s">
        <v>41</v>
      </c>
      <c r="E94" s="17">
        <v>3600</v>
      </c>
      <c r="F94" s="17"/>
      <c r="G94" s="16">
        <f t="shared" si="13"/>
        <v>3600</v>
      </c>
      <c r="H94" s="11">
        <f>469+946.8</f>
        <v>1415.8</v>
      </c>
      <c r="I94" s="11"/>
      <c r="J94" s="10">
        <f t="shared" si="12"/>
        <v>1415.8</v>
      </c>
      <c r="K94" s="10">
        <f t="shared" si="14"/>
        <v>39.327777777777776</v>
      </c>
      <c r="S94" s="22"/>
      <c r="T94" s="22"/>
      <c r="U94" s="22"/>
      <c r="V94" s="22"/>
      <c r="W94" s="22"/>
    </row>
    <row r="95" spans="1:23" ht="35.25" hidden="1" customHeight="1">
      <c r="A95" s="33"/>
      <c r="B95" s="19" t="s">
        <v>88</v>
      </c>
      <c r="C95" s="25"/>
      <c r="D95" s="36"/>
      <c r="E95" s="17"/>
      <c r="F95" s="17"/>
      <c r="G95" s="16">
        <f t="shared" si="13"/>
        <v>0</v>
      </c>
      <c r="H95" s="11"/>
      <c r="I95" s="11"/>
      <c r="J95" s="10">
        <f t="shared" si="12"/>
        <v>0</v>
      </c>
      <c r="K95" s="10" t="e">
        <f t="shared" si="14"/>
        <v>#DIV/0!</v>
      </c>
      <c r="S95" s="22"/>
      <c r="T95" s="22"/>
      <c r="U95" s="22"/>
      <c r="V95" s="22"/>
      <c r="W95" s="22"/>
    </row>
    <row r="96" spans="1:23" ht="35.25" customHeight="1">
      <c r="A96" s="34"/>
      <c r="B96" s="19" t="s">
        <v>88</v>
      </c>
      <c r="C96" s="25" t="s">
        <v>62</v>
      </c>
      <c r="D96" s="36"/>
      <c r="E96" s="17">
        <v>6000</v>
      </c>
      <c r="F96" s="17"/>
      <c r="G96" s="16">
        <f t="shared" si="13"/>
        <v>6000</v>
      </c>
      <c r="H96" s="11">
        <v>3000</v>
      </c>
      <c r="I96" s="11"/>
      <c r="J96" s="10">
        <f t="shared" si="12"/>
        <v>3000</v>
      </c>
      <c r="K96" s="10">
        <f t="shared" si="14"/>
        <v>50</v>
      </c>
      <c r="S96" s="22"/>
      <c r="T96" s="22"/>
      <c r="U96" s="22"/>
      <c r="V96" s="22"/>
      <c r="W96" s="22"/>
    </row>
    <row r="97" spans="1:23" ht="110.25" customHeight="1">
      <c r="A97" s="6">
        <v>24</v>
      </c>
      <c r="B97" s="19">
        <v>2717693</v>
      </c>
      <c r="C97" s="20" t="s">
        <v>42</v>
      </c>
      <c r="D97" s="1" t="s">
        <v>41</v>
      </c>
      <c r="E97" s="17">
        <v>5600</v>
      </c>
      <c r="F97" s="17"/>
      <c r="G97" s="16">
        <f t="shared" si="13"/>
        <v>5600</v>
      </c>
      <c r="H97" s="11">
        <f>178.99+78.4+346.1+117.6+30+462.2+101.3</f>
        <v>1314.59</v>
      </c>
      <c r="I97" s="11"/>
      <c r="J97" s="10">
        <f t="shared" si="12"/>
        <v>1314.59</v>
      </c>
      <c r="K97" s="10">
        <f t="shared" si="14"/>
        <v>23.474821428571428</v>
      </c>
      <c r="S97" s="22" t="b">
        <f t="shared" si="15"/>
        <v>0</v>
      </c>
      <c r="T97" s="22" t="b">
        <f t="shared" si="16"/>
        <v>0</v>
      </c>
      <c r="U97" s="22" t="b">
        <f t="shared" si="17"/>
        <v>0</v>
      </c>
      <c r="V97" s="22">
        <f t="shared" si="18"/>
        <v>1314.59</v>
      </c>
      <c r="W97" s="22" t="b">
        <f t="shared" si="19"/>
        <v>0</v>
      </c>
    </row>
    <row r="98" spans="1:23" ht="90" customHeight="1">
      <c r="A98" s="32">
        <v>25</v>
      </c>
      <c r="B98" s="19"/>
      <c r="C98" s="20" t="s">
        <v>44</v>
      </c>
      <c r="D98" s="18" t="s">
        <v>16</v>
      </c>
      <c r="E98" s="16">
        <f>E99+E100+E101+E102+E103</f>
        <v>2112.4720000000002</v>
      </c>
      <c r="F98" s="16">
        <f>F99+F100+F101+F102+F103</f>
        <v>42900</v>
      </c>
      <c r="G98" s="16">
        <f>E98+F98</f>
        <v>45012.472000000002</v>
      </c>
      <c r="H98" s="16">
        <f>H99+H100+H101+H102+H103</f>
        <v>932.38000000000011</v>
      </c>
      <c r="I98" s="16">
        <f>I99+I100+I101+I102+I103</f>
        <v>3246.3</v>
      </c>
      <c r="J98" s="10">
        <f>H98+I98</f>
        <v>4178.68</v>
      </c>
      <c r="K98" s="10">
        <f t="shared" si="14"/>
        <v>9.2833826144896019</v>
      </c>
      <c r="S98" s="22" t="b">
        <f t="shared" si="15"/>
        <v>0</v>
      </c>
      <c r="T98" s="22" t="b">
        <f t="shared" si="16"/>
        <v>0</v>
      </c>
      <c r="U98" s="22" t="b">
        <f t="shared" si="17"/>
        <v>0</v>
      </c>
      <c r="V98" s="22">
        <f t="shared" si="18"/>
        <v>4178.68</v>
      </c>
      <c r="W98" s="22" t="b">
        <f t="shared" si="19"/>
        <v>0</v>
      </c>
    </row>
    <row r="99" spans="1:23" ht="62.25" customHeight="1">
      <c r="A99" s="33"/>
      <c r="B99" s="19" t="s">
        <v>150</v>
      </c>
      <c r="C99" s="1" t="s">
        <v>68</v>
      </c>
      <c r="D99" s="29" t="s">
        <v>43</v>
      </c>
      <c r="E99" s="17">
        <v>2112.4720000000002</v>
      </c>
      <c r="F99" s="17"/>
      <c r="G99" s="16">
        <f t="shared" si="13"/>
        <v>2112.4720000000002</v>
      </c>
      <c r="H99" s="11">
        <f>34.2+62.6+40.5+58.6+41.4+58.8+41.1+1.68+57.8+41.2+494.5</f>
        <v>932.38000000000011</v>
      </c>
      <c r="I99" s="11"/>
      <c r="J99" s="10">
        <f t="shared" si="12"/>
        <v>932.38000000000011</v>
      </c>
      <c r="K99" s="10">
        <f>J99/G99*100</f>
        <v>44.136916370962552</v>
      </c>
      <c r="S99" s="22"/>
      <c r="T99" s="22"/>
      <c r="U99" s="22"/>
      <c r="V99" s="22"/>
      <c r="W99" s="22"/>
    </row>
    <row r="100" spans="1:23" ht="54.75" customHeight="1">
      <c r="A100" s="33"/>
      <c r="B100" s="19">
        <v>2818340</v>
      </c>
      <c r="C100" s="1" t="s">
        <v>69</v>
      </c>
      <c r="D100" s="30"/>
      <c r="E100" s="17"/>
      <c r="F100" s="17">
        <f>42900-34324.5-1722</f>
        <v>6853.5</v>
      </c>
      <c r="G100" s="16">
        <f t="shared" si="13"/>
        <v>6853.5</v>
      </c>
      <c r="H100" s="11"/>
      <c r="I100" s="11">
        <f>515+1046.3+589</f>
        <v>2150.3000000000002</v>
      </c>
      <c r="J100" s="10">
        <f t="shared" si="12"/>
        <v>2150.3000000000002</v>
      </c>
      <c r="K100" s="10">
        <f>J100/G100*100</f>
        <v>31.375209746844678</v>
      </c>
      <c r="S100" s="22"/>
      <c r="T100" s="22"/>
      <c r="U100" s="22"/>
      <c r="V100" s="22"/>
      <c r="W100" s="22"/>
    </row>
    <row r="101" spans="1:23" ht="81" hidden="1" customHeight="1">
      <c r="A101" s="33"/>
      <c r="B101" s="19">
        <v>2818340</v>
      </c>
      <c r="C101" s="1" t="s">
        <v>69</v>
      </c>
      <c r="D101" s="30"/>
      <c r="E101" s="17"/>
      <c r="F101" s="17"/>
      <c r="G101" s="16"/>
      <c r="H101" s="11"/>
      <c r="I101" s="11"/>
      <c r="J101" s="10">
        <f t="shared" si="12"/>
        <v>0</v>
      </c>
      <c r="K101" s="10"/>
      <c r="S101" s="22"/>
      <c r="T101" s="22"/>
      <c r="U101" s="22"/>
      <c r="V101" s="22"/>
      <c r="W101" s="22"/>
    </row>
    <row r="102" spans="1:23" ht="81" customHeight="1">
      <c r="A102" s="33"/>
      <c r="B102" s="19" t="s">
        <v>165</v>
      </c>
      <c r="C102" s="1" t="s">
        <v>166</v>
      </c>
      <c r="D102" s="30"/>
      <c r="E102" s="17"/>
      <c r="F102" s="17">
        <v>1722</v>
      </c>
      <c r="G102" s="16">
        <f t="shared" si="13"/>
        <v>1722</v>
      </c>
      <c r="H102" s="11"/>
      <c r="I102" s="11">
        <v>781</v>
      </c>
      <c r="J102" s="10">
        <f t="shared" si="12"/>
        <v>781</v>
      </c>
      <c r="K102" s="10">
        <f>J102/G102*100</f>
        <v>45.354239256678284</v>
      </c>
      <c r="S102" s="22"/>
      <c r="T102" s="22"/>
      <c r="U102" s="22"/>
      <c r="V102" s="22"/>
      <c r="W102" s="22"/>
    </row>
    <row r="103" spans="1:23" ht="81" customHeight="1">
      <c r="A103" s="34"/>
      <c r="B103" s="19" t="s">
        <v>167</v>
      </c>
      <c r="C103" s="1" t="s">
        <v>168</v>
      </c>
      <c r="D103" s="31"/>
      <c r="E103" s="17"/>
      <c r="F103" s="17">
        <v>34324.5</v>
      </c>
      <c r="G103" s="16">
        <f t="shared" si="13"/>
        <v>34324.5</v>
      </c>
      <c r="H103" s="11"/>
      <c r="I103" s="11">
        <v>315</v>
      </c>
      <c r="J103" s="10">
        <f t="shared" si="12"/>
        <v>315</v>
      </c>
      <c r="K103" s="10">
        <f>J103/G103*100</f>
        <v>0.91771183848271642</v>
      </c>
      <c r="S103" s="22"/>
      <c r="T103" s="22"/>
      <c r="U103" s="22"/>
      <c r="V103" s="22"/>
      <c r="W103" s="22"/>
    </row>
    <row r="104" spans="1:23" ht="79.5" customHeight="1">
      <c r="A104" s="42">
        <v>26</v>
      </c>
      <c r="B104" s="19"/>
      <c r="C104" s="20" t="s">
        <v>46</v>
      </c>
      <c r="D104" s="18" t="s">
        <v>16</v>
      </c>
      <c r="E104" s="16">
        <f>E105+E106+E108+E107</f>
        <v>28695.200000000001</v>
      </c>
      <c r="F104" s="16">
        <f>F105+F106+F108+F107</f>
        <v>26535</v>
      </c>
      <c r="G104" s="16">
        <f>E104+F104</f>
        <v>55230.2</v>
      </c>
      <c r="H104" s="10">
        <f>H105+H106+H108+H107</f>
        <v>7692.8</v>
      </c>
      <c r="I104" s="10">
        <f>I105+I106+I108+I107</f>
        <v>4449.5</v>
      </c>
      <c r="J104" s="10">
        <f t="shared" si="12"/>
        <v>12142.3</v>
      </c>
      <c r="K104" s="10">
        <f t="shared" ref="K104:K127" si="20">J104/G104*100</f>
        <v>21.984892323402779</v>
      </c>
      <c r="S104" s="22" t="b">
        <f>IF(K104=100,J104)</f>
        <v>0</v>
      </c>
      <c r="T104" s="22" t="b">
        <f>IF(AND(70&lt;=K104,100&gt;K104),J104)</f>
        <v>0</v>
      </c>
      <c r="U104" s="22" t="b">
        <f>IF(AND(30&lt;=K104,70&gt;K104),J104)</f>
        <v>0</v>
      </c>
      <c r="V104" s="22">
        <f>IF(AND(0&lt;K104,30&gt;K104),J104)</f>
        <v>12142.3</v>
      </c>
      <c r="W104" s="22" t="b">
        <f>IF(K104=0,0)</f>
        <v>0</v>
      </c>
    </row>
    <row r="105" spans="1:23" ht="56.25" customHeight="1">
      <c r="A105" s="42"/>
      <c r="B105" s="19" t="s">
        <v>87</v>
      </c>
      <c r="C105" s="1" t="s">
        <v>70</v>
      </c>
      <c r="D105" s="36" t="s">
        <v>45</v>
      </c>
      <c r="E105" s="17">
        <v>6515.2</v>
      </c>
      <c r="F105" s="17">
        <v>315</v>
      </c>
      <c r="G105" s="16">
        <f t="shared" ref="G105:G110" si="21">E105+F105</f>
        <v>6830.2</v>
      </c>
      <c r="H105" s="11">
        <f>417.6+216.6+0.5+280.6+198.2+3.2+255.3+179.4+44+321+185.4+0.9+383.9</f>
        <v>2486.6000000000004</v>
      </c>
      <c r="I105" s="11"/>
      <c r="J105" s="10">
        <f t="shared" si="12"/>
        <v>2486.6000000000004</v>
      </c>
      <c r="K105" s="10">
        <f t="shared" si="20"/>
        <v>36.40596175807444</v>
      </c>
      <c r="S105" s="22"/>
      <c r="T105" s="22"/>
      <c r="U105" s="22"/>
      <c r="V105" s="22"/>
      <c r="W105" s="22"/>
    </row>
    <row r="106" spans="1:23" ht="61.5" customHeight="1">
      <c r="A106" s="42"/>
      <c r="B106" s="19">
        <v>2918110</v>
      </c>
      <c r="C106" s="1" t="s">
        <v>71</v>
      </c>
      <c r="D106" s="36"/>
      <c r="E106" s="17">
        <v>2200</v>
      </c>
      <c r="F106" s="17"/>
      <c r="G106" s="16">
        <f t="shared" si="21"/>
        <v>2200</v>
      </c>
      <c r="H106" s="11">
        <v>1033.45</v>
      </c>
      <c r="I106" s="11"/>
      <c r="J106" s="10">
        <f t="shared" si="12"/>
        <v>1033.45</v>
      </c>
      <c r="K106" s="10">
        <f t="shared" si="20"/>
        <v>46.975000000000001</v>
      </c>
      <c r="S106" s="22"/>
      <c r="T106" s="22"/>
      <c r="U106" s="22"/>
      <c r="V106" s="22"/>
      <c r="W106" s="22"/>
    </row>
    <row r="107" spans="1:23" ht="61.5" customHeight="1">
      <c r="A107" s="42"/>
      <c r="B107" s="19" t="s">
        <v>151</v>
      </c>
      <c r="C107" s="1" t="s">
        <v>152</v>
      </c>
      <c r="D107" s="36"/>
      <c r="E107" s="17">
        <v>2000</v>
      </c>
      <c r="F107" s="17"/>
      <c r="G107" s="16">
        <f t="shared" si="21"/>
        <v>2000</v>
      </c>
      <c r="H107" s="11">
        <f>45.02+47.93+56.1+68.4</f>
        <v>217.45000000000002</v>
      </c>
      <c r="I107" s="11"/>
      <c r="J107" s="10">
        <f t="shared" si="12"/>
        <v>217.45000000000002</v>
      </c>
      <c r="K107" s="10">
        <f t="shared" si="20"/>
        <v>10.8725</v>
      </c>
      <c r="S107" s="22"/>
      <c r="T107" s="22"/>
      <c r="U107" s="22"/>
      <c r="V107" s="22"/>
      <c r="W107" s="22"/>
    </row>
    <row r="108" spans="1:23" ht="80.25" customHeight="1">
      <c r="A108" s="42"/>
      <c r="B108" s="19">
        <v>2919800</v>
      </c>
      <c r="C108" s="1" t="s">
        <v>72</v>
      </c>
      <c r="D108" s="36"/>
      <c r="E108" s="17">
        <v>17980</v>
      </c>
      <c r="F108" s="17">
        <f>20020+7000-800</f>
        <v>26220</v>
      </c>
      <c r="G108" s="16">
        <f t="shared" si="21"/>
        <v>44200</v>
      </c>
      <c r="H108" s="11">
        <f>246.78+1863.32+1495.4+349.8</f>
        <v>3955.3</v>
      </c>
      <c r="I108" s="11">
        <f>2000+449.5+1500+500</f>
        <v>4449.5</v>
      </c>
      <c r="J108" s="10">
        <f t="shared" ref="J108:J128" si="22">H108+I108</f>
        <v>8404.7999999999993</v>
      </c>
      <c r="K108" s="10">
        <f t="shared" si="20"/>
        <v>19.015384615384615</v>
      </c>
      <c r="S108" s="22"/>
      <c r="T108" s="22"/>
      <c r="U108" s="22"/>
      <c r="V108" s="22"/>
      <c r="W108" s="22"/>
    </row>
    <row r="109" spans="1:23" ht="93" customHeight="1">
      <c r="A109" s="42">
        <v>27</v>
      </c>
      <c r="B109" s="1"/>
      <c r="C109" s="20" t="s">
        <v>48</v>
      </c>
      <c r="D109" s="18" t="s">
        <v>16</v>
      </c>
      <c r="E109" s="16">
        <f>E110+E111</f>
        <v>10000</v>
      </c>
      <c r="F109" s="16">
        <f>F110+F111</f>
        <v>0</v>
      </c>
      <c r="G109" s="16">
        <f t="shared" si="21"/>
        <v>10000</v>
      </c>
      <c r="H109" s="10">
        <f>H110+H111</f>
        <v>0</v>
      </c>
      <c r="I109" s="10">
        <f>I110+I111</f>
        <v>0</v>
      </c>
      <c r="J109" s="10">
        <f t="shared" si="22"/>
        <v>0</v>
      </c>
      <c r="K109" s="10">
        <f t="shared" si="20"/>
        <v>0</v>
      </c>
      <c r="S109" s="22" t="b">
        <f>IF(K109=100,J109)</f>
        <v>0</v>
      </c>
      <c r="T109" s="22" t="b">
        <f>IF(AND(70&lt;=K109,100&gt;K109),J109)</f>
        <v>0</v>
      </c>
      <c r="U109" s="22" t="b">
        <f>IF(AND(30&lt;=K109,70&gt;K109),J109)</f>
        <v>0</v>
      </c>
      <c r="V109" s="22" t="b">
        <f>IF(AND(0&lt;K109,30&gt;K109),J109)</f>
        <v>0</v>
      </c>
      <c r="W109" s="22">
        <f>IF(K109=0,0)</f>
        <v>0</v>
      </c>
    </row>
    <row r="110" spans="1:23" ht="72.75" customHeight="1">
      <c r="A110" s="42"/>
      <c r="B110" s="19" t="s">
        <v>112</v>
      </c>
      <c r="C110" s="1" t="s">
        <v>62</v>
      </c>
      <c r="D110" s="1" t="s">
        <v>47</v>
      </c>
      <c r="E110" s="17">
        <v>10000</v>
      </c>
      <c r="F110" s="17"/>
      <c r="G110" s="16">
        <f t="shared" si="21"/>
        <v>10000</v>
      </c>
      <c r="H110" s="11"/>
      <c r="I110" s="11"/>
      <c r="J110" s="10">
        <f t="shared" si="22"/>
        <v>0</v>
      </c>
      <c r="K110" s="10">
        <f t="shared" si="20"/>
        <v>0</v>
      </c>
      <c r="S110" s="22"/>
      <c r="T110" s="22"/>
      <c r="U110" s="22"/>
      <c r="V110" s="22"/>
      <c r="W110" s="22"/>
    </row>
    <row r="111" spans="1:23" ht="67.5" hidden="1" customHeight="1">
      <c r="A111" s="42"/>
      <c r="B111" s="19" t="s">
        <v>111</v>
      </c>
      <c r="C111" s="28"/>
      <c r="D111" s="1" t="s">
        <v>89</v>
      </c>
      <c r="E111" s="17"/>
      <c r="F111" s="17"/>
      <c r="G111" s="16">
        <f>E111+F111</f>
        <v>0</v>
      </c>
      <c r="H111" s="11"/>
      <c r="I111" s="11"/>
      <c r="J111" s="10">
        <f t="shared" si="22"/>
        <v>0</v>
      </c>
      <c r="K111" s="10" t="e">
        <f t="shared" si="20"/>
        <v>#DIV/0!</v>
      </c>
      <c r="S111" s="22"/>
      <c r="T111" s="22"/>
      <c r="U111" s="22"/>
      <c r="V111" s="22"/>
      <c r="W111" s="22"/>
    </row>
    <row r="112" spans="1:23" ht="94.5" customHeight="1">
      <c r="A112" s="32">
        <v>28</v>
      </c>
      <c r="B112" s="27"/>
      <c r="C112" s="20" t="s">
        <v>153</v>
      </c>
      <c r="D112" s="18" t="s">
        <v>16</v>
      </c>
      <c r="E112" s="16">
        <f>SUM(E113+E120+E121+E122+E123+E124+E125+E126)</f>
        <v>133612.69199999998</v>
      </c>
      <c r="F112" s="16">
        <f>SUM(F113+F120+F121+F122+F123+F124+F125+F126)</f>
        <v>6423.3310000000001</v>
      </c>
      <c r="G112" s="16">
        <f>SUM(E112+F112)</f>
        <v>140036.02299999999</v>
      </c>
      <c r="H112" s="16">
        <f>SUM(H113+H120+H121+H122+H123+H124+H125+H126)</f>
        <v>368.6</v>
      </c>
      <c r="I112" s="16">
        <f>SUM(I113+I120+I121+I122+I123+I124+I125+I126)</f>
        <v>0</v>
      </c>
      <c r="J112" s="10">
        <f t="shared" si="22"/>
        <v>368.6</v>
      </c>
      <c r="K112" s="10">
        <f>J112/G112*100</f>
        <v>0.26321798641768057</v>
      </c>
      <c r="S112" s="22" t="b">
        <f>IF(K112=100,J112)</f>
        <v>0</v>
      </c>
      <c r="T112" s="22" t="b">
        <f>IF(AND(70&lt;=K112,100&gt;K112),J112)</f>
        <v>0</v>
      </c>
      <c r="U112" s="22" t="b">
        <f>IF(AND(30&lt;=K112,70&gt;K112),J112)</f>
        <v>0</v>
      </c>
      <c r="V112" s="22">
        <f>IF(AND(0&lt;K112,30&gt;K112),J112)</f>
        <v>368.6</v>
      </c>
      <c r="W112" s="22" t="b">
        <f>IF(K112=0,0)</f>
        <v>0</v>
      </c>
    </row>
    <row r="113" spans="1:23" ht="63.75" customHeight="1">
      <c r="A113" s="33"/>
      <c r="B113" s="35">
        <v>3719770</v>
      </c>
      <c r="C113" s="36" t="s">
        <v>62</v>
      </c>
      <c r="D113" s="1" t="s">
        <v>47</v>
      </c>
      <c r="E113" s="17">
        <f>140000-7070.2-200</f>
        <v>132729.79999999999</v>
      </c>
      <c r="F113" s="17"/>
      <c r="G113" s="16">
        <f t="shared" ref="G113:G128" si="23">E113+F113</f>
        <v>132729.79999999999</v>
      </c>
      <c r="H113" s="11"/>
      <c r="I113" s="11"/>
      <c r="J113" s="10">
        <f t="shared" si="22"/>
        <v>0</v>
      </c>
      <c r="K113" s="10">
        <f>J113/G113*100</f>
        <v>0</v>
      </c>
      <c r="S113" s="22"/>
      <c r="T113" s="22"/>
      <c r="U113" s="22"/>
      <c r="V113" s="22"/>
      <c r="W113" s="22"/>
    </row>
    <row r="114" spans="1:23" ht="64.5" hidden="1" customHeight="1">
      <c r="A114" s="33"/>
      <c r="B114" s="35"/>
      <c r="C114" s="36"/>
      <c r="D114" s="1" t="s">
        <v>100</v>
      </c>
      <c r="E114" s="17"/>
      <c r="F114" s="17"/>
      <c r="G114" s="16">
        <f t="shared" si="23"/>
        <v>0</v>
      </c>
      <c r="H114" s="11"/>
      <c r="I114" s="11"/>
      <c r="J114" s="10">
        <f t="shared" si="22"/>
        <v>0</v>
      </c>
      <c r="K114" s="10" t="e">
        <f t="shared" si="20"/>
        <v>#DIV/0!</v>
      </c>
      <c r="S114" s="22"/>
      <c r="T114" s="22"/>
      <c r="U114" s="22"/>
      <c r="V114" s="22"/>
      <c r="W114" s="22"/>
    </row>
    <row r="115" spans="1:23" ht="66" hidden="1" customHeight="1">
      <c r="A115" s="33"/>
      <c r="B115" s="35"/>
      <c r="C115" s="36"/>
      <c r="D115" s="1" t="s">
        <v>11</v>
      </c>
      <c r="E115" s="17"/>
      <c r="F115" s="17"/>
      <c r="G115" s="16">
        <f t="shared" si="23"/>
        <v>0</v>
      </c>
      <c r="H115" s="11"/>
      <c r="I115" s="11"/>
      <c r="J115" s="10">
        <f t="shared" si="22"/>
        <v>0</v>
      </c>
      <c r="K115" s="10" t="e">
        <f t="shared" si="20"/>
        <v>#DIV/0!</v>
      </c>
      <c r="S115" s="22"/>
      <c r="T115" s="22"/>
      <c r="U115" s="22"/>
      <c r="V115" s="22"/>
      <c r="W115" s="22"/>
    </row>
    <row r="116" spans="1:23" ht="62.25" hidden="1" customHeight="1">
      <c r="A116" s="33"/>
      <c r="B116" s="35"/>
      <c r="C116" s="36"/>
      <c r="D116" s="1" t="s">
        <v>2</v>
      </c>
      <c r="E116" s="17"/>
      <c r="F116" s="17"/>
      <c r="G116" s="16">
        <f t="shared" si="23"/>
        <v>0</v>
      </c>
      <c r="H116" s="11"/>
      <c r="I116" s="11"/>
      <c r="J116" s="10">
        <f t="shared" si="22"/>
        <v>0</v>
      </c>
      <c r="K116" s="10" t="e">
        <f t="shared" si="20"/>
        <v>#DIV/0!</v>
      </c>
      <c r="S116" s="22"/>
      <c r="T116" s="22"/>
      <c r="U116" s="22"/>
      <c r="V116" s="22"/>
      <c r="W116" s="22"/>
    </row>
    <row r="117" spans="1:23" ht="56.25" hidden="1" customHeight="1">
      <c r="A117" s="33"/>
      <c r="B117" s="35"/>
      <c r="C117" s="36"/>
      <c r="D117" s="1" t="s">
        <v>103</v>
      </c>
      <c r="E117" s="17"/>
      <c r="F117" s="17"/>
      <c r="G117" s="16">
        <f t="shared" si="23"/>
        <v>0</v>
      </c>
      <c r="H117" s="11"/>
      <c r="I117" s="11"/>
      <c r="J117" s="10">
        <f t="shared" si="22"/>
        <v>0</v>
      </c>
      <c r="K117" s="10" t="e">
        <f t="shared" si="20"/>
        <v>#DIV/0!</v>
      </c>
      <c r="S117" s="22"/>
      <c r="T117" s="22"/>
      <c r="U117" s="22"/>
      <c r="V117" s="22"/>
      <c r="W117" s="22"/>
    </row>
    <row r="118" spans="1:23" ht="54.75" hidden="1" customHeight="1">
      <c r="A118" s="33"/>
      <c r="B118" s="35"/>
      <c r="C118" s="36"/>
      <c r="D118" s="1" t="s">
        <v>104</v>
      </c>
      <c r="E118" s="17"/>
      <c r="F118" s="17"/>
      <c r="G118" s="16">
        <f t="shared" si="23"/>
        <v>0</v>
      </c>
      <c r="H118" s="11"/>
      <c r="I118" s="11"/>
      <c r="J118" s="10">
        <f t="shared" si="22"/>
        <v>0</v>
      </c>
      <c r="K118" s="10" t="e">
        <f t="shared" si="20"/>
        <v>#DIV/0!</v>
      </c>
      <c r="S118" s="22"/>
      <c r="T118" s="22"/>
      <c r="U118" s="22"/>
      <c r="V118" s="22"/>
      <c r="W118" s="22"/>
    </row>
    <row r="119" spans="1:23" ht="42" hidden="1" customHeight="1">
      <c r="A119" s="33"/>
      <c r="B119" s="35"/>
      <c r="C119" s="36"/>
      <c r="D119" s="1" t="s">
        <v>89</v>
      </c>
      <c r="E119" s="17"/>
      <c r="F119" s="17"/>
      <c r="G119" s="16">
        <f t="shared" si="23"/>
        <v>0</v>
      </c>
      <c r="H119" s="11"/>
      <c r="I119" s="11"/>
      <c r="J119" s="10">
        <f t="shared" si="22"/>
        <v>0</v>
      </c>
      <c r="K119" s="10" t="e">
        <f t="shared" si="20"/>
        <v>#DIV/0!</v>
      </c>
      <c r="S119" s="22"/>
      <c r="T119" s="22"/>
      <c r="U119" s="22"/>
      <c r="V119" s="22"/>
      <c r="W119" s="22"/>
    </row>
    <row r="120" spans="1:23" ht="42" customHeight="1">
      <c r="A120" s="33"/>
      <c r="B120" s="35"/>
      <c r="C120" s="36"/>
      <c r="D120" s="1" t="s">
        <v>159</v>
      </c>
      <c r="E120" s="17">
        <v>368.6</v>
      </c>
      <c r="F120" s="17"/>
      <c r="G120" s="16">
        <f t="shared" si="23"/>
        <v>368.6</v>
      </c>
      <c r="H120" s="11">
        <v>368.6</v>
      </c>
      <c r="I120" s="11"/>
      <c r="J120" s="10">
        <f t="shared" si="22"/>
        <v>368.6</v>
      </c>
      <c r="K120" s="10">
        <f t="shared" ref="K120:K126" si="24">J120/G120*100</f>
        <v>100</v>
      </c>
      <c r="S120" s="22"/>
      <c r="T120" s="22"/>
      <c r="U120" s="22"/>
      <c r="V120" s="22"/>
      <c r="W120" s="22"/>
    </row>
    <row r="121" spans="1:23" ht="42" customHeight="1">
      <c r="A121" s="33"/>
      <c r="B121" s="35"/>
      <c r="C121" s="36"/>
      <c r="D121" s="1" t="s">
        <v>18</v>
      </c>
      <c r="E121" s="17">
        <v>269.3</v>
      </c>
      <c r="F121" s="17">
        <f>817.944+200</f>
        <v>1017.944</v>
      </c>
      <c r="G121" s="16">
        <f t="shared" si="23"/>
        <v>1287.2439999999999</v>
      </c>
      <c r="H121" s="11"/>
      <c r="I121" s="11"/>
      <c r="J121" s="10">
        <f t="shared" si="22"/>
        <v>0</v>
      </c>
      <c r="K121" s="10">
        <f t="shared" si="24"/>
        <v>0</v>
      </c>
      <c r="S121" s="22"/>
      <c r="T121" s="22"/>
      <c r="U121" s="22"/>
      <c r="V121" s="22"/>
      <c r="W121" s="22"/>
    </row>
    <row r="122" spans="1:23" ht="51.75" customHeight="1">
      <c r="A122" s="33"/>
      <c r="B122" s="35"/>
      <c r="C122" s="36"/>
      <c r="D122" s="1" t="s">
        <v>11</v>
      </c>
      <c r="E122" s="17">
        <v>80.968000000000004</v>
      </c>
      <c r="F122" s="17">
        <v>3067.0540000000001</v>
      </c>
      <c r="G122" s="16">
        <f t="shared" si="23"/>
        <v>3148.0219999999999</v>
      </c>
      <c r="H122" s="11"/>
      <c r="I122" s="11"/>
      <c r="J122" s="10">
        <f t="shared" si="22"/>
        <v>0</v>
      </c>
      <c r="K122" s="10">
        <f t="shared" si="24"/>
        <v>0</v>
      </c>
      <c r="S122" s="22"/>
      <c r="T122" s="22"/>
      <c r="U122" s="22"/>
      <c r="V122" s="22"/>
      <c r="W122" s="22"/>
    </row>
    <row r="123" spans="1:23" ht="57" customHeight="1">
      <c r="A123" s="33"/>
      <c r="B123" s="35"/>
      <c r="C123" s="36"/>
      <c r="D123" s="1" t="s">
        <v>2</v>
      </c>
      <c r="E123" s="17">
        <v>63.024000000000001</v>
      </c>
      <c r="F123" s="17">
        <v>655.70799999999997</v>
      </c>
      <c r="G123" s="16">
        <f t="shared" si="23"/>
        <v>718.73199999999997</v>
      </c>
      <c r="H123" s="11"/>
      <c r="I123" s="11"/>
      <c r="J123" s="10">
        <f t="shared" si="22"/>
        <v>0</v>
      </c>
      <c r="K123" s="10">
        <f t="shared" si="24"/>
        <v>0</v>
      </c>
      <c r="S123" s="22"/>
      <c r="T123" s="22"/>
      <c r="U123" s="22"/>
      <c r="V123" s="22"/>
      <c r="W123" s="22"/>
    </row>
    <row r="124" spans="1:23" ht="60.75" customHeight="1">
      <c r="A124" s="33"/>
      <c r="B124" s="35"/>
      <c r="C124" s="36"/>
      <c r="D124" s="1" t="s">
        <v>160</v>
      </c>
      <c r="E124" s="17"/>
      <c r="F124" s="17">
        <v>1682.625</v>
      </c>
      <c r="G124" s="16">
        <f t="shared" si="23"/>
        <v>1682.625</v>
      </c>
      <c r="H124" s="11"/>
      <c r="I124" s="11"/>
      <c r="J124" s="10">
        <f t="shared" si="22"/>
        <v>0</v>
      </c>
      <c r="K124" s="10">
        <f t="shared" si="24"/>
        <v>0</v>
      </c>
      <c r="S124" s="22"/>
      <c r="T124" s="22"/>
      <c r="U124" s="22"/>
      <c r="V124" s="22"/>
      <c r="W124" s="22"/>
    </row>
    <row r="125" spans="1:23" ht="60.75" customHeight="1">
      <c r="A125" s="33"/>
      <c r="B125" s="35"/>
      <c r="C125" s="36"/>
      <c r="D125" s="1" t="s">
        <v>14</v>
      </c>
      <c r="E125" s="17">
        <v>15</v>
      </c>
      <c r="F125" s="17"/>
      <c r="G125" s="16">
        <f t="shared" si="23"/>
        <v>15</v>
      </c>
      <c r="H125" s="11"/>
      <c r="I125" s="11"/>
      <c r="J125" s="10">
        <f t="shared" si="22"/>
        <v>0</v>
      </c>
      <c r="K125" s="10">
        <f t="shared" si="24"/>
        <v>0</v>
      </c>
      <c r="S125" s="22"/>
      <c r="T125" s="22"/>
      <c r="U125" s="22"/>
      <c r="V125" s="22"/>
      <c r="W125" s="22"/>
    </row>
    <row r="126" spans="1:23" ht="60.75" customHeight="1">
      <c r="A126" s="34"/>
      <c r="B126" s="35"/>
      <c r="C126" s="36"/>
      <c r="D126" s="1" t="s">
        <v>43</v>
      </c>
      <c r="E126" s="17">
        <f>50+36</f>
        <v>86</v>
      </c>
      <c r="F126" s="17"/>
      <c r="G126" s="16">
        <f t="shared" si="23"/>
        <v>86</v>
      </c>
      <c r="H126" s="11"/>
      <c r="I126" s="11"/>
      <c r="J126" s="10">
        <f t="shared" si="22"/>
        <v>0</v>
      </c>
      <c r="K126" s="10">
        <f t="shared" si="24"/>
        <v>0</v>
      </c>
      <c r="S126" s="22"/>
      <c r="T126" s="22"/>
      <c r="U126" s="22"/>
      <c r="V126" s="22"/>
      <c r="W126" s="22"/>
    </row>
    <row r="127" spans="1:23" ht="86.25" customHeight="1">
      <c r="A127" s="6">
        <v>29</v>
      </c>
      <c r="B127" s="19">
        <v>3719800</v>
      </c>
      <c r="C127" s="20" t="s">
        <v>49</v>
      </c>
      <c r="D127" s="1" t="s">
        <v>47</v>
      </c>
      <c r="E127" s="17">
        <v>35000</v>
      </c>
      <c r="F127" s="17"/>
      <c r="G127" s="16">
        <f t="shared" si="23"/>
        <v>35000</v>
      </c>
      <c r="H127" s="11">
        <f>8000+1500+4000</f>
        <v>13500</v>
      </c>
      <c r="I127" s="11"/>
      <c r="J127" s="10">
        <f t="shared" si="22"/>
        <v>13500</v>
      </c>
      <c r="K127" s="10">
        <f t="shared" si="20"/>
        <v>38.571428571428577</v>
      </c>
      <c r="S127" s="22" t="b">
        <f>IF(K127=100,J127)</f>
        <v>0</v>
      </c>
      <c r="T127" s="22" t="b">
        <f>IF(AND(70&lt;=K127,100&gt;K127),J127)</f>
        <v>0</v>
      </c>
      <c r="U127" s="22">
        <f>IF(AND(30&lt;=K127,70&gt;K127),J127)</f>
        <v>13500</v>
      </c>
      <c r="V127" s="22" t="b">
        <f>IF(AND(0&lt;K127,30&gt;K127),J127)</f>
        <v>0</v>
      </c>
      <c r="W127" s="22" t="b">
        <f>IF(K127=0,0)</f>
        <v>0</v>
      </c>
    </row>
    <row r="128" spans="1:23" ht="36" customHeight="1">
      <c r="A128" s="45" t="s">
        <v>172</v>
      </c>
      <c r="B128" s="45"/>
      <c r="C128" s="45"/>
      <c r="D128" s="45"/>
      <c r="E128" s="10">
        <f>E5+E9+E15+E21+E22+E28+E32+E33+E36+E42+E45+E46+E47+E48+E49+E58+E65+E71+E74+E83+E84+E85+E90+E97+E98+E104+E109+E112+E127+E93</f>
        <v>923357.95057999995</v>
      </c>
      <c r="F128" s="10">
        <f>F5+F9+F15+F21+F22+F28+F32+F33+F36+F42+F45+F46+F47+F48+F49+F58+F65+F71+F74+F83+F84+F85+F90+F93+F97+F98+F104+F109+F112+F127</f>
        <v>662871.53099999996</v>
      </c>
      <c r="G128" s="10">
        <f t="shared" si="23"/>
        <v>1586229.4815799999</v>
      </c>
      <c r="H128" s="10">
        <f>H5+H9+H15+H21+H22+H28+H32+H33+H36+H42+H45+H46+H47+H48+H49+H58+H65+H71+H74+H83+H84+H85+H90+H93+H97+H98+H104+H109+H112+H127</f>
        <v>127582.09600000001</v>
      </c>
      <c r="I128" s="10">
        <f>I5+I9+I15+I21+I22+I28+I32+I33+I36+I42+I45+I46+I47+I48+I49+I58+I65+I71+I74+I83+I84+I85+I90+I93+I97+I98+I104+I109+I112+I127</f>
        <v>193082.80000000002</v>
      </c>
      <c r="J128" s="10">
        <f t="shared" si="22"/>
        <v>320664.89600000001</v>
      </c>
      <c r="K128" s="10">
        <f>J128/G128*100</f>
        <v>20.215542563273662</v>
      </c>
      <c r="R128" s="9" t="s">
        <v>50</v>
      </c>
      <c r="S128" s="23">
        <f>+S5+S9+S15+S21+S22+S28+S32+S33+S36+S45+S46+S47+S48+S49+S58+S65+S71+S74+S83+S84+S85+S90+S93+S97+S98+S104+S109+S112+S127</f>
        <v>0</v>
      </c>
      <c r="T128" s="23">
        <f>+T5+T9+T15+T21+T22+T28+T32+T33+T36+T45+T46+T47+T48+T49+T58+T65+T71+T74+T83+T84+T85+T90+T93+T97+T98+T104+T109+T112+T127</f>
        <v>0</v>
      </c>
      <c r="U128" s="23">
        <f>+U5+U9+U15+U21+U22+U28+U32+U33+U36+U45+U46+U47+U48+U49+U58+U65+U71+U74+U83+U84+U85+U90+U93+U97+U98+U104+U109+U112+U127</f>
        <v>248119.71099999998</v>
      </c>
      <c r="V128" s="23">
        <f>+V5+V9+V15+V21+V22+V28+V32+V33+V36+V45+V46+V47+V48+V49+V58+V65+V71+V74+V83+V84+V85+V90+V93+V97+V98+V104+V109+V112+V127</f>
        <v>72545.185000000012</v>
      </c>
      <c r="W128" s="23">
        <f>+W5+W9+W15+W21+W22+W28+W32+W33+W36+W45+W46+W47+W48+W49+W58+W65+W71+W74+W83+W84+W85+W90+W93+W97+W98+W104+W109+W112+W127</f>
        <v>0</v>
      </c>
    </row>
    <row r="129" spans="1:11">
      <c r="A129" s="6"/>
      <c r="B129" s="13"/>
      <c r="C129" s="7"/>
      <c r="D129" s="6"/>
      <c r="E129" s="6"/>
      <c r="F129" s="6"/>
      <c r="G129" s="6"/>
      <c r="H129" s="6"/>
      <c r="I129" s="6"/>
      <c r="J129" s="6"/>
      <c r="K129" s="6"/>
    </row>
    <row r="130" spans="1:11">
      <c r="A130" s="2"/>
      <c r="B130" s="12"/>
      <c r="C130" s="5"/>
      <c r="D130" s="2"/>
      <c r="E130" s="2"/>
      <c r="F130" s="2"/>
      <c r="G130" s="2"/>
      <c r="H130" s="2"/>
      <c r="I130" s="2"/>
      <c r="J130" s="2"/>
      <c r="K130" s="2"/>
    </row>
    <row r="131" spans="1:11">
      <c r="A131" s="2"/>
      <c r="B131" s="12"/>
      <c r="C131" s="5"/>
      <c r="D131" s="2"/>
      <c r="E131" s="2"/>
      <c r="F131" s="2"/>
      <c r="G131" s="2"/>
      <c r="H131" s="2"/>
      <c r="I131" s="2"/>
      <c r="J131" s="2"/>
      <c r="K131" s="2"/>
    </row>
    <row r="132" spans="1:11">
      <c r="A132" s="2"/>
      <c r="B132" s="12"/>
      <c r="C132" s="5"/>
      <c r="D132" s="2"/>
      <c r="E132" s="2"/>
      <c r="F132" s="2"/>
      <c r="G132" s="2"/>
      <c r="H132" s="2"/>
      <c r="I132" s="2"/>
      <c r="J132" s="2"/>
      <c r="K132" s="2"/>
    </row>
    <row r="133" spans="1:11">
      <c r="A133" s="2"/>
      <c r="B133" s="12"/>
      <c r="C133" s="5"/>
      <c r="D133" s="2"/>
      <c r="E133" s="2"/>
      <c r="F133" s="2"/>
      <c r="G133" s="2"/>
      <c r="H133" s="2"/>
      <c r="I133" s="2"/>
      <c r="J133" s="2"/>
      <c r="K133" s="2"/>
    </row>
    <row r="134" spans="1:11">
      <c r="A134" s="2"/>
      <c r="B134" s="12"/>
      <c r="C134" s="5"/>
      <c r="D134" s="2"/>
      <c r="E134" s="2"/>
      <c r="F134" s="2"/>
      <c r="G134" s="2"/>
      <c r="H134" s="2"/>
      <c r="I134" s="2"/>
      <c r="J134" s="2"/>
      <c r="K134" s="2"/>
    </row>
    <row r="135" spans="1:11">
      <c r="A135" s="2"/>
      <c r="B135" s="12"/>
      <c r="C135" s="5"/>
      <c r="D135" s="2"/>
      <c r="E135" s="2"/>
      <c r="F135" s="2"/>
      <c r="G135" s="2"/>
      <c r="H135" s="2"/>
      <c r="I135" s="2"/>
      <c r="J135" s="2"/>
      <c r="K135" s="2"/>
    </row>
    <row r="136" spans="1:11">
      <c r="A136" s="2"/>
      <c r="B136" s="12"/>
      <c r="C136" s="5"/>
      <c r="D136" s="2"/>
      <c r="E136" s="2"/>
      <c r="F136" s="2"/>
      <c r="G136" s="2"/>
      <c r="H136" s="2"/>
      <c r="I136" s="2"/>
      <c r="J136" s="2"/>
      <c r="K136" s="2"/>
    </row>
    <row r="137" spans="1:11">
      <c r="A137" s="2"/>
      <c r="B137" s="12"/>
      <c r="C137" s="5"/>
      <c r="D137" s="2"/>
      <c r="E137" s="2"/>
      <c r="F137" s="2"/>
      <c r="G137" s="2"/>
      <c r="H137" s="2"/>
      <c r="I137" s="2"/>
      <c r="J137" s="2"/>
      <c r="K137" s="2"/>
    </row>
    <row r="138" spans="1:11">
      <c r="A138" s="2"/>
      <c r="B138" s="12"/>
      <c r="C138" s="5"/>
      <c r="D138" s="2"/>
      <c r="E138" s="2"/>
      <c r="F138" s="2"/>
      <c r="G138" s="2"/>
      <c r="H138" s="2"/>
      <c r="I138" s="2"/>
      <c r="J138" s="2"/>
      <c r="K138" s="2"/>
    </row>
    <row r="139" spans="1:11">
      <c r="A139" s="2"/>
      <c r="B139" s="12"/>
      <c r="C139" s="5"/>
      <c r="D139" s="2"/>
      <c r="E139" s="2"/>
      <c r="F139" s="2"/>
      <c r="G139" s="2"/>
      <c r="H139" s="2"/>
      <c r="I139" s="2"/>
      <c r="J139" s="2"/>
      <c r="K139" s="2"/>
    </row>
    <row r="140" spans="1:11">
      <c r="A140" s="2"/>
      <c r="B140" s="12"/>
      <c r="C140" s="5"/>
      <c r="D140" s="2"/>
      <c r="E140" s="2"/>
      <c r="F140" s="2"/>
      <c r="G140" s="2"/>
      <c r="H140" s="2"/>
      <c r="I140" s="2"/>
      <c r="J140" s="2"/>
      <c r="K140" s="2"/>
    </row>
    <row r="141" spans="1:11">
      <c r="A141" s="2"/>
      <c r="B141" s="12"/>
      <c r="C141" s="5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12"/>
      <c r="C142" s="5"/>
      <c r="D142" s="2"/>
      <c r="E142" s="2"/>
      <c r="F142" s="2"/>
      <c r="G142" s="2"/>
      <c r="H142" s="2"/>
      <c r="I142" s="2"/>
      <c r="J142" s="2"/>
      <c r="K142" s="2"/>
    </row>
    <row r="143" spans="1:11">
      <c r="A143" s="2"/>
      <c r="B143" s="12"/>
      <c r="C143" s="5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12"/>
      <c r="C144" s="5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12"/>
      <c r="C145" s="5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12"/>
      <c r="C146" s="5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12"/>
      <c r="C147" s="5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12"/>
      <c r="C148" s="5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12"/>
      <c r="C149" s="5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12"/>
      <c r="C150" s="5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12"/>
      <c r="C151" s="5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12"/>
      <c r="C152" s="5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12"/>
      <c r="C153" s="5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12"/>
      <c r="C154" s="5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12"/>
      <c r="C155" s="5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12"/>
      <c r="C156" s="5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12"/>
      <c r="C157" s="5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12"/>
      <c r="C158" s="5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12"/>
      <c r="C159" s="5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12"/>
      <c r="C160" s="5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12"/>
      <c r="C161" s="5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12"/>
      <c r="C162" s="5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12"/>
      <c r="C163" s="5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12"/>
      <c r="C164" s="5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12"/>
      <c r="C165" s="5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12"/>
      <c r="C166" s="5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12"/>
      <c r="C167" s="5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12"/>
      <c r="C168" s="5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12"/>
      <c r="C169" s="5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12"/>
      <c r="C170" s="5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12"/>
      <c r="C171" s="5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12"/>
      <c r="C172" s="5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12"/>
      <c r="C173" s="5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12"/>
      <c r="C174" s="5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12"/>
      <c r="C175" s="5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12"/>
      <c r="C176" s="5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12"/>
      <c r="C177" s="5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12"/>
      <c r="C178" s="5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12"/>
      <c r="C179" s="5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12"/>
      <c r="C180" s="5"/>
      <c r="D180" s="2"/>
      <c r="E180" s="2"/>
      <c r="F180" s="2"/>
      <c r="G180" s="2"/>
      <c r="H180" s="2"/>
      <c r="I180" s="2"/>
      <c r="J180" s="2"/>
      <c r="K180" s="2"/>
    </row>
  </sheetData>
  <mergeCells count="55">
    <mergeCell ref="A112:A126"/>
    <mergeCell ref="D34:D35"/>
    <mergeCell ref="A33:A35"/>
    <mergeCell ref="A58:A63"/>
    <mergeCell ref="A42:A44"/>
    <mergeCell ref="A49:A57"/>
    <mergeCell ref="D105:D108"/>
    <mergeCell ref="D91:D92"/>
    <mergeCell ref="A74:A82"/>
    <mergeCell ref="B66:B67"/>
    <mergeCell ref="C42:C44"/>
    <mergeCell ref="D37:D41"/>
    <mergeCell ref="D43:D44"/>
    <mergeCell ref="D23:D27"/>
    <mergeCell ref="D66:D70"/>
    <mergeCell ref="D72:D73"/>
    <mergeCell ref="D59:D64"/>
    <mergeCell ref="A1:J1"/>
    <mergeCell ref="D2:E2"/>
    <mergeCell ref="A128:D128"/>
    <mergeCell ref="A65:A70"/>
    <mergeCell ref="D94:D96"/>
    <mergeCell ref="A36:A41"/>
    <mergeCell ref="A104:A108"/>
    <mergeCell ref="A85:A89"/>
    <mergeCell ref="A109:A111"/>
    <mergeCell ref="D45:D47"/>
    <mergeCell ref="E3:G3"/>
    <mergeCell ref="H3:J3"/>
    <mergeCell ref="K3:K4"/>
    <mergeCell ref="A5:A8"/>
    <mergeCell ref="A28:A31"/>
    <mergeCell ref="D29:D30"/>
    <mergeCell ref="D11:D14"/>
    <mergeCell ref="A9:A14"/>
    <mergeCell ref="A15:A20"/>
    <mergeCell ref="A22:A27"/>
    <mergeCell ref="C113:C126"/>
    <mergeCell ref="B113:B126"/>
    <mergeCell ref="B3:B4"/>
    <mergeCell ref="A3:A4"/>
    <mergeCell ref="C3:C4"/>
    <mergeCell ref="D3:D4"/>
    <mergeCell ref="C6:C7"/>
    <mergeCell ref="D16:D20"/>
    <mergeCell ref="A90:A92"/>
    <mergeCell ref="A71:A73"/>
    <mergeCell ref="D99:D103"/>
    <mergeCell ref="A98:A103"/>
    <mergeCell ref="A93:A96"/>
    <mergeCell ref="B52:B57"/>
    <mergeCell ref="C52:C57"/>
    <mergeCell ref="C66:C67"/>
    <mergeCell ref="D86:D89"/>
    <mergeCell ref="D76:D79"/>
  </mergeCells>
  <phoneticPr fontId="37" type="noConversion"/>
  <printOptions horizontalCentered="1"/>
  <pageMargins left="0.15748031496062992" right="0.15748031496062992" top="0.23622047244094491" bottom="0.19685039370078741" header="0.23622047244094491" footer="0.15748031496062992"/>
  <pageSetup paperSize="9" scale="55" orientation="landscape" r:id="rId1"/>
  <headerFooter alignWithMargins="0"/>
  <rowBreaks count="1" manualBreakCount="1">
    <brk id="1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>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user</cp:lastModifiedBy>
  <cp:lastPrinted>2020-06-05T06:52:28Z</cp:lastPrinted>
  <dcterms:created xsi:type="dcterms:W3CDTF">2019-01-30T14:30:49Z</dcterms:created>
  <dcterms:modified xsi:type="dcterms:W3CDTF">2022-06-07T09:45:57Z</dcterms:modified>
</cp:coreProperties>
</file>