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N:\"/>
    </mc:Choice>
  </mc:AlternateContent>
  <xr:revisionPtr revIDLastSave="0" documentId="8_{F5BB5E22-7ACD-437D-AE9A-8F24626E1F3C}" xr6:coauthVersionLast="45" xr6:coauthVersionMax="45" xr10:uidLastSave="{00000000-0000-0000-0000-000000000000}"/>
  <bookViews>
    <workbookView xWindow="-120" yWindow="-120" windowWidth="29040" windowHeight="15840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1" i="4" l="1"/>
  <c r="J131" i="4" s="1"/>
  <c r="K131" i="4" s="1"/>
  <c r="I128" i="4"/>
  <c r="J128" i="4" s="1"/>
  <c r="H126" i="4"/>
  <c r="J126" i="4" s="1"/>
  <c r="K126" i="4" s="1"/>
  <c r="H119" i="4"/>
  <c r="I113" i="4"/>
  <c r="H113" i="4"/>
  <c r="H111" i="4"/>
  <c r="J111" i="4" s="1"/>
  <c r="K111" i="4" s="1"/>
  <c r="I108" i="4"/>
  <c r="H104" i="4"/>
  <c r="H93" i="4"/>
  <c r="H89" i="4"/>
  <c r="H87" i="4" s="1"/>
  <c r="H88" i="4"/>
  <c r="I83" i="4"/>
  <c r="J83" i="4"/>
  <c r="I77" i="4"/>
  <c r="J77" i="4" s="1"/>
  <c r="K77" i="4" s="1"/>
  <c r="H67" i="4"/>
  <c r="J67" i="4" s="1"/>
  <c r="K67" i="4" s="1"/>
  <c r="H55" i="4"/>
  <c r="H51" i="4"/>
  <c r="H45" i="4"/>
  <c r="J45" i="4" s="1"/>
  <c r="H44" i="4"/>
  <c r="I34" i="4"/>
  <c r="H34" i="4"/>
  <c r="J34" i="4" s="1"/>
  <c r="F34" i="4"/>
  <c r="H33" i="4"/>
  <c r="H32" i="4"/>
  <c r="H31" i="4"/>
  <c r="J31" i="4" s="1"/>
  <c r="K31" i="4" s="1"/>
  <c r="H30" i="4"/>
  <c r="H29" i="4"/>
  <c r="H28" i="4"/>
  <c r="H27" i="4"/>
  <c r="J27" i="4" s="1"/>
  <c r="K27" i="4" s="1"/>
  <c r="H26" i="4"/>
  <c r="H25" i="4"/>
  <c r="H23" i="4"/>
  <c r="J23" i="4"/>
  <c r="K23" i="4" s="1"/>
  <c r="E18" i="4"/>
  <c r="H17" i="4"/>
  <c r="E17" i="4"/>
  <c r="H14" i="4"/>
  <c r="J14" i="4" s="1"/>
  <c r="K14" i="4" s="1"/>
  <c r="H13" i="4"/>
  <c r="H112" i="4"/>
  <c r="J112" i="4"/>
  <c r="H106" i="4"/>
  <c r="J106" i="4" s="1"/>
  <c r="H102" i="4"/>
  <c r="J102" i="4"/>
  <c r="H95" i="4"/>
  <c r="J95" i="4" s="1"/>
  <c r="F89" i="4"/>
  <c r="F87" i="4"/>
  <c r="E89" i="4"/>
  <c r="G89" i="4" s="1"/>
  <c r="I75" i="4"/>
  <c r="I71" i="4"/>
  <c r="H73" i="4"/>
  <c r="H71" i="4" s="1"/>
  <c r="J71" i="4" s="1"/>
  <c r="H41" i="4"/>
  <c r="H38" i="4" s="1"/>
  <c r="J38" i="4" s="1"/>
  <c r="K38" i="4" s="1"/>
  <c r="H35" i="4"/>
  <c r="J35" i="4"/>
  <c r="J30" i="4"/>
  <c r="K30" i="4" s="1"/>
  <c r="J28" i="4"/>
  <c r="H11" i="4"/>
  <c r="H10" i="4"/>
  <c r="J10" i="4" s="1"/>
  <c r="H9" i="4"/>
  <c r="J9" i="4" s="1"/>
  <c r="K9" i="4" s="1"/>
  <c r="H6" i="4"/>
  <c r="J6" i="4"/>
  <c r="I123" i="4"/>
  <c r="J123" i="4" s="1"/>
  <c r="K123" i="4" s="1"/>
  <c r="H123" i="4"/>
  <c r="H122" i="4"/>
  <c r="I135" i="4"/>
  <c r="J135" i="4" s="1"/>
  <c r="H114" i="4"/>
  <c r="H82" i="4"/>
  <c r="H80" i="4"/>
  <c r="J80" i="4" s="1"/>
  <c r="H64" i="4"/>
  <c r="H57" i="4"/>
  <c r="J57" i="4"/>
  <c r="K57" i="4" s="1"/>
  <c r="J55" i="4"/>
  <c r="H54" i="4"/>
  <c r="J54" i="4"/>
  <c r="J51" i="4"/>
  <c r="K51" i="4" s="1"/>
  <c r="H46" i="4"/>
  <c r="J46" i="4" s="1"/>
  <c r="K46" i="4" s="1"/>
  <c r="E28" i="4"/>
  <c r="G28" i="4"/>
  <c r="E26" i="4"/>
  <c r="I25" i="4"/>
  <c r="E25" i="4"/>
  <c r="H16" i="4"/>
  <c r="J16" i="4" s="1"/>
  <c r="K16" i="4" s="1"/>
  <c r="H7" i="4"/>
  <c r="I129" i="4"/>
  <c r="J129" i="4" s="1"/>
  <c r="K129" i="4" s="1"/>
  <c r="H121" i="4"/>
  <c r="H120" i="4" s="1"/>
  <c r="H97" i="4"/>
  <c r="H96" i="4" s="1"/>
  <c r="J96" i="4" s="1"/>
  <c r="H91" i="4"/>
  <c r="I86" i="4"/>
  <c r="I84" i="4"/>
  <c r="J84" i="4" s="1"/>
  <c r="J74" i="4"/>
  <c r="F75" i="4"/>
  <c r="F74" i="4"/>
  <c r="G74" i="4"/>
  <c r="K74" i="4" s="1"/>
  <c r="H60" i="4"/>
  <c r="H59" i="4"/>
  <c r="H58" i="4"/>
  <c r="J58" i="4" s="1"/>
  <c r="K58" i="4" s="1"/>
  <c r="I32" i="4"/>
  <c r="J32" i="4"/>
  <c r="I8" i="4"/>
  <c r="J8" i="4" s="1"/>
  <c r="K8" i="4" s="1"/>
  <c r="F43" i="4"/>
  <c r="E43" i="4"/>
  <c r="G43" i="4" s="1"/>
  <c r="G46" i="4"/>
  <c r="H66" i="4"/>
  <c r="H90" i="4"/>
  <c r="J90" i="4" s="1"/>
  <c r="K90" i="4" s="1"/>
  <c r="J29" i="4"/>
  <c r="J59" i="4"/>
  <c r="J60" i="4"/>
  <c r="J86" i="4"/>
  <c r="J91" i="4"/>
  <c r="H138" i="4"/>
  <c r="J138" i="4" s="1"/>
  <c r="K138" i="4" s="1"/>
  <c r="I134" i="4"/>
  <c r="I133" i="4"/>
  <c r="I115" i="4"/>
  <c r="I114" i="4"/>
  <c r="J114" i="4" s="1"/>
  <c r="F77" i="4"/>
  <c r="E77" i="4"/>
  <c r="G77" i="4"/>
  <c r="J78" i="4"/>
  <c r="F78" i="4"/>
  <c r="F76" i="4"/>
  <c r="H61" i="4"/>
  <c r="J61" i="4" s="1"/>
  <c r="H56" i="4"/>
  <c r="J56" i="4" s="1"/>
  <c r="F51" i="4"/>
  <c r="E51" i="4"/>
  <c r="F128" i="4"/>
  <c r="F127" i="4" s="1"/>
  <c r="F17" i="4"/>
  <c r="G17" i="4" s="1"/>
  <c r="F112" i="4"/>
  <c r="F114" i="4"/>
  <c r="G114" i="4" s="1"/>
  <c r="E114" i="4"/>
  <c r="F109" i="4"/>
  <c r="F108" i="4"/>
  <c r="I98" i="4"/>
  <c r="J98" i="4" s="1"/>
  <c r="K98" i="4" s="1"/>
  <c r="F83" i="4"/>
  <c r="I82" i="4"/>
  <c r="F81" i="4"/>
  <c r="G81" i="4" s="1"/>
  <c r="K81" i="4" s="1"/>
  <c r="F73" i="4"/>
  <c r="E73" i="4"/>
  <c r="E71" i="4"/>
  <c r="J37" i="4"/>
  <c r="E37" i="4"/>
  <c r="G37" i="4" s="1"/>
  <c r="E34" i="4"/>
  <c r="G34" i="4" s="1"/>
  <c r="E31" i="4"/>
  <c r="F26" i="4"/>
  <c r="F25" i="4"/>
  <c r="F24" i="4" s="1"/>
  <c r="E7" i="4"/>
  <c r="G7" i="4" s="1"/>
  <c r="I130" i="4"/>
  <c r="I107" i="4"/>
  <c r="J107" i="4" s="1"/>
  <c r="H20" i="4"/>
  <c r="J20" i="4"/>
  <c r="K20" i="4" s="1"/>
  <c r="I136" i="4"/>
  <c r="J136" i="4" s="1"/>
  <c r="K136" i="4" s="1"/>
  <c r="I109" i="4"/>
  <c r="J109" i="4"/>
  <c r="F63" i="4"/>
  <c r="E52" i="4"/>
  <c r="E20" i="4"/>
  <c r="E19" i="4"/>
  <c r="G19" i="4" s="1"/>
  <c r="E22" i="4"/>
  <c r="E23" i="4"/>
  <c r="G23" i="4"/>
  <c r="G21" i="4"/>
  <c r="K21" i="4" s="1"/>
  <c r="J21" i="4"/>
  <c r="G51" i="4"/>
  <c r="I50" i="4"/>
  <c r="F52" i="4"/>
  <c r="F50" i="4" s="1"/>
  <c r="I138" i="4"/>
  <c r="H137" i="4"/>
  <c r="J137" i="4" s="1"/>
  <c r="F138" i="4"/>
  <c r="F137" i="4" s="1"/>
  <c r="E138" i="4"/>
  <c r="G138" i="4"/>
  <c r="J139" i="4"/>
  <c r="G139" i="4"/>
  <c r="F111" i="4"/>
  <c r="E111" i="4"/>
  <c r="I89" i="4"/>
  <c r="I87" i="4" s="1"/>
  <c r="I53" i="4"/>
  <c r="F65" i="4"/>
  <c r="F53" i="4" s="1"/>
  <c r="E54" i="4"/>
  <c r="E55" i="4"/>
  <c r="E56" i="4"/>
  <c r="G56" i="4" s="1"/>
  <c r="E59" i="4"/>
  <c r="E60" i="4"/>
  <c r="E61" i="4"/>
  <c r="G61" i="4" s="1"/>
  <c r="E64" i="4"/>
  <c r="J65" i="4"/>
  <c r="I26" i="4"/>
  <c r="J26" i="4"/>
  <c r="K26" i="4" s="1"/>
  <c r="I33" i="4"/>
  <c r="J33" i="4" s="1"/>
  <c r="G36" i="4"/>
  <c r="J36" i="4"/>
  <c r="K36" i="4" s="1"/>
  <c r="F27" i="4"/>
  <c r="F33" i="4"/>
  <c r="G33" i="4" s="1"/>
  <c r="E29" i="4"/>
  <c r="E32" i="4"/>
  <c r="E33" i="4"/>
  <c r="I10" i="4"/>
  <c r="J12" i="4"/>
  <c r="K12" i="4" s="1"/>
  <c r="H18" i="4"/>
  <c r="I17" i="4"/>
  <c r="J17" i="4" s="1"/>
  <c r="K17" i="4" s="1"/>
  <c r="J18" i="4"/>
  <c r="I19" i="4"/>
  <c r="J22" i="4"/>
  <c r="K22" i="4" s="1"/>
  <c r="I38" i="4"/>
  <c r="J39" i="4"/>
  <c r="J40" i="4"/>
  <c r="K40" i="4" s="1"/>
  <c r="J42" i="4"/>
  <c r="I43" i="4"/>
  <c r="J44" i="4"/>
  <c r="J47" i="4"/>
  <c r="K47" i="4" s="1"/>
  <c r="H48" i="4"/>
  <c r="J48" i="4" s="1"/>
  <c r="I48" i="4"/>
  <c r="J49" i="4"/>
  <c r="J52" i="4"/>
  <c r="J62" i="4"/>
  <c r="K62" i="4" s="1"/>
  <c r="J63" i="4"/>
  <c r="J64" i="4"/>
  <c r="I66" i="4"/>
  <c r="J66" i="4"/>
  <c r="K66" i="4" s="1"/>
  <c r="H68" i="4"/>
  <c r="J68" i="4" s="1"/>
  <c r="I68" i="4"/>
  <c r="J69" i="4"/>
  <c r="K69" i="4" s="1"/>
  <c r="J70" i="4"/>
  <c r="J72" i="4"/>
  <c r="H76" i="4"/>
  <c r="J79" i="4"/>
  <c r="K79" i="4" s="1"/>
  <c r="J81" i="4"/>
  <c r="H84" i="4"/>
  <c r="J85" i="4"/>
  <c r="K85" i="4" s="1"/>
  <c r="I90" i="4"/>
  <c r="I94" i="4"/>
  <c r="J94" i="4"/>
  <c r="I96" i="4"/>
  <c r="H100" i="4"/>
  <c r="J100" i="4"/>
  <c r="H99" i="4"/>
  <c r="J99" i="4" s="1"/>
  <c r="I99" i="4"/>
  <c r="I101" i="4"/>
  <c r="H103" i="4"/>
  <c r="J103" i="4" s="1"/>
  <c r="I103" i="4"/>
  <c r="J104" i="4"/>
  <c r="J108" i="4"/>
  <c r="K108" i="4" s="1"/>
  <c r="J113" i="4"/>
  <c r="J115" i="4"/>
  <c r="H116" i="4"/>
  <c r="J116" i="4" s="1"/>
  <c r="I116" i="4"/>
  <c r="J117" i="4"/>
  <c r="H118" i="4"/>
  <c r="J118" i="4" s="1"/>
  <c r="I118" i="4"/>
  <c r="J122" i="4"/>
  <c r="H124" i="4"/>
  <c r="J124" i="4" s="1"/>
  <c r="I124" i="4"/>
  <c r="J125" i="4"/>
  <c r="H127" i="4"/>
  <c r="J127" i="4" s="1"/>
  <c r="K127" i="4" s="1"/>
  <c r="J130" i="4"/>
  <c r="J132" i="4"/>
  <c r="J133" i="4"/>
  <c r="J134" i="4"/>
  <c r="K134" i="4" s="1"/>
  <c r="F107" i="4"/>
  <c r="F105" i="4" s="1"/>
  <c r="G105" i="4" s="1"/>
  <c r="E105" i="4"/>
  <c r="G108" i="4"/>
  <c r="E9" i="4"/>
  <c r="F5" i="4"/>
  <c r="E10" i="4"/>
  <c r="G10" i="4" s="1"/>
  <c r="F10" i="4"/>
  <c r="E16" i="4"/>
  <c r="F15" i="4"/>
  <c r="E38" i="4"/>
  <c r="G38" i="4" s="1"/>
  <c r="F38" i="4"/>
  <c r="F72" i="4"/>
  <c r="F71" i="4" s="1"/>
  <c r="G71" i="4" s="1"/>
  <c r="K71" i="4" s="1"/>
  <c r="E66" i="4"/>
  <c r="F66" i="4"/>
  <c r="E87" i="4"/>
  <c r="G87" i="4" s="1"/>
  <c r="E92" i="4"/>
  <c r="F92" i="4"/>
  <c r="E101" i="4"/>
  <c r="F101" i="4"/>
  <c r="G101" i="4" s="1"/>
  <c r="E113" i="4"/>
  <c r="G113" i="4" s="1"/>
  <c r="K113" i="4" s="1"/>
  <c r="F113" i="4"/>
  <c r="F110" i="4" s="1"/>
  <c r="E121" i="4"/>
  <c r="E122" i="4"/>
  <c r="E120" i="4" s="1"/>
  <c r="G120" i="4" s="1"/>
  <c r="E123" i="4"/>
  <c r="F120" i="4"/>
  <c r="E135" i="4"/>
  <c r="E127" i="4" s="1"/>
  <c r="G127" i="4" s="1"/>
  <c r="F130" i="4"/>
  <c r="G130" i="4"/>
  <c r="K130" i="4" s="1"/>
  <c r="F135" i="4"/>
  <c r="F136" i="4"/>
  <c r="G136" i="4"/>
  <c r="E80" i="4"/>
  <c r="E124" i="4"/>
  <c r="F124" i="4"/>
  <c r="G124" i="4" s="1"/>
  <c r="E97" i="4"/>
  <c r="E96" i="4" s="1"/>
  <c r="G96" i="4" s="1"/>
  <c r="F96" i="4"/>
  <c r="F19" i="4"/>
  <c r="E104" i="4"/>
  <c r="E103" i="4"/>
  <c r="G103" i="4"/>
  <c r="F103" i="4"/>
  <c r="E84" i="4"/>
  <c r="F84" i="4"/>
  <c r="G84" i="4" s="1"/>
  <c r="E48" i="4"/>
  <c r="G48" i="4" s="1"/>
  <c r="F48" i="4"/>
  <c r="E68" i="4"/>
  <c r="F68" i="4"/>
  <c r="E90" i="4"/>
  <c r="F90" i="4"/>
  <c r="E100" i="4"/>
  <c r="E99" i="4" s="1"/>
  <c r="G99" i="4" s="1"/>
  <c r="F99" i="4"/>
  <c r="E116" i="4"/>
  <c r="G116" i="4" s="1"/>
  <c r="F117" i="4"/>
  <c r="F116" i="4" s="1"/>
  <c r="E119" i="4"/>
  <c r="E118" i="4" s="1"/>
  <c r="G118" i="4" s="1"/>
  <c r="F119" i="4"/>
  <c r="F118" i="4"/>
  <c r="G63" i="4"/>
  <c r="K63" i="4" s="1"/>
  <c r="G22" i="4"/>
  <c r="G59" i="4"/>
  <c r="K59" i="4"/>
  <c r="G60" i="4"/>
  <c r="G132" i="4"/>
  <c r="G133" i="4"/>
  <c r="K133" i="4" s="1"/>
  <c r="G134" i="4"/>
  <c r="G131" i="4"/>
  <c r="G128" i="4"/>
  <c r="G129" i="4"/>
  <c r="G73" i="4"/>
  <c r="G94" i="4"/>
  <c r="G115" i="4"/>
  <c r="K115" i="4"/>
  <c r="G72" i="4"/>
  <c r="K72" i="4" s="1"/>
  <c r="G39" i="4"/>
  <c r="K39" i="4"/>
  <c r="G69" i="4"/>
  <c r="G8" i="4"/>
  <c r="G9" i="4"/>
  <c r="G6" i="4"/>
  <c r="G12" i="4"/>
  <c r="G13" i="4"/>
  <c r="G14" i="4"/>
  <c r="G11" i="4"/>
  <c r="G26" i="4"/>
  <c r="G27" i="4"/>
  <c r="G29" i="4"/>
  <c r="K29" i="4" s="1"/>
  <c r="G30" i="4"/>
  <c r="G31" i="4"/>
  <c r="G32" i="4"/>
  <c r="G35" i="4"/>
  <c r="G25" i="4"/>
  <c r="K25" i="4" s="1"/>
  <c r="G16" i="4"/>
  <c r="G18" i="4"/>
  <c r="G125" i="4"/>
  <c r="K125" i="4" s="1"/>
  <c r="G126" i="4"/>
  <c r="G122" i="4"/>
  <c r="K122" i="4" s="1"/>
  <c r="G123" i="4"/>
  <c r="G47" i="4"/>
  <c r="G111" i="4"/>
  <c r="G79" i="4"/>
  <c r="G95" i="4"/>
  <c r="G82" i="4"/>
  <c r="K82" i="4" s="1"/>
  <c r="G91" i="4"/>
  <c r="K91" i="4"/>
  <c r="G70" i="4"/>
  <c r="K70" i="4" s="1"/>
  <c r="G83" i="4"/>
  <c r="G86" i="4"/>
  <c r="K86" i="4"/>
  <c r="G85" i="4"/>
  <c r="G88" i="4"/>
  <c r="G98" i="4"/>
  <c r="G102" i="4"/>
  <c r="G104" i="4"/>
  <c r="K104" i="4" s="1"/>
  <c r="G64" i="4"/>
  <c r="K64" i="4" s="1"/>
  <c r="G62" i="4"/>
  <c r="G57" i="4"/>
  <c r="G55" i="4"/>
  <c r="K55" i="4" s="1"/>
  <c r="G49" i="4"/>
  <c r="G45" i="4"/>
  <c r="G44" i="4"/>
  <c r="K44" i="4" s="1"/>
  <c r="G42" i="4"/>
  <c r="K42" i="4"/>
  <c r="G41" i="4"/>
  <c r="G40" i="4"/>
  <c r="G109" i="4"/>
  <c r="G106" i="4"/>
  <c r="G112" i="4"/>
  <c r="G67" i="4"/>
  <c r="G93" i="4"/>
  <c r="G58" i="4"/>
  <c r="G75" i="4"/>
  <c r="K18" i="4"/>
  <c r="I92" i="4"/>
  <c r="G78" i="4"/>
  <c r="K78" i="4"/>
  <c r="H101" i="4"/>
  <c r="J101" i="4" s="1"/>
  <c r="K101" i="4" s="1"/>
  <c r="J82" i="4"/>
  <c r="H53" i="4"/>
  <c r="J53" i="4" s="1"/>
  <c r="H50" i="4"/>
  <c r="J50" i="4"/>
  <c r="J25" i="4"/>
  <c r="J7" i="4"/>
  <c r="K7" i="4" s="1"/>
  <c r="K94" i="4"/>
  <c r="K49" i="4"/>
  <c r="E110" i="4"/>
  <c r="G110" i="4" s="1"/>
  <c r="J119" i="4"/>
  <c r="K139" i="4"/>
  <c r="E137" i="4"/>
  <c r="G137" i="4" s="1"/>
  <c r="E76" i="4"/>
  <c r="I5" i="4"/>
  <c r="G54" i="4"/>
  <c r="E5" i="4"/>
  <c r="G5" i="4"/>
  <c r="G20" i="4"/>
  <c r="J93" i="4"/>
  <c r="K93" i="4"/>
  <c r="G121" i="4"/>
  <c r="K132" i="4"/>
  <c r="K60" i="4"/>
  <c r="J121" i="4"/>
  <c r="K121" i="4" s="1"/>
  <c r="J88" i="4"/>
  <c r="K88" i="4"/>
  <c r="J75" i="4"/>
  <c r="K75" i="4" s="1"/>
  <c r="I24" i="4"/>
  <c r="K28" i="4"/>
  <c r="J11" i="4"/>
  <c r="K11" i="4"/>
  <c r="K6" i="4"/>
  <c r="H5" i="4"/>
  <c r="J5" i="4" s="1"/>
  <c r="K5" i="4" s="1"/>
  <c r="I127" i="4"/>
  <c r="K83" i="4"/>
  <c r="I80" i="4"/>
  <c r="K45" i="4"/>
  <c r="H24" i="4"/>
  <c r="J24" i="4" s="1"/>
  <c r="H19" i="4"/>
  <c r="J19" i="4"/>
  <c r="E15" i="4"/>
  <c r="G15" i="4" s="1"/>
  <c r="J13" i="4"/>
  <c r="K13" i="4"/>
  <c r="K102" i="4"/>
  <c r="K56" i="4"/>
  <c r="G90" i="4"/>
  <c r="G66" i="4"/>
  <c r="G76" i="4"/>
  <c r="G135" i="4"/>
  <c r="G107" i="4"/>
  <c r="K107" i="4"/>
  <c r="I137" i="4"/>
  <c r="E50" i="4"/>
  <c r="G50" i="4"/>
  <c r="K50" i="4" s="1"/>
  <c r="J87" i="4"/>
  <c r="K87" i="4" s="1"/>
  <c r="G68" i="4"/>
  <c r="G92" i="4"/>
  <c r="G65" i="4"/>
  <c r="K65" i="4" s="1"/>
  <c r="K32" i="4"/>
  <c r="K106" i="4"/>
  <c r="K96" i="4"/>
  <c r="K128" i="4"/>
  <c r="K54" i="4"/>
  <c r="K35" i="4"/>
  <c r="K95" i="4"/>
  <c r="K103" i="4"/>
  <c r="K109" i="4"/>
  <c r="K112" i="4"/>
  <c r="K19" i="4" l="1"/>
  <c r="K116" i="4"/>
  <c r="K33" i="4"/>
  <c r="K37" i="4"/>
  <c r="K118" i="4"/>
  <c r="K99" i="4"/>
  <c r="K68" i="4"/>
  <c r="K137" i="4"/>
  <c r="K114" i="4"/>
  <c r="K10" i="4"/>
  <c r="K34" i="4"/>
  <c r="F140" i="4"/>
  <c r="K124" i="4"/>
  <c r="K48" i="4"/>
  <c r="K61" i="4"/>
  <c r="K84" i="4"/>
  <c r="K135" i="4"/>
  <c r="E53" i="4"/>
  <c r="G53" i="4" s="1"/>
  <c r="K53" i="4" s="1"/>
  <c r="G119" i="4"/>
  <c r="K119" i="4" s="1"/>
  <c r="F80" i="4"/>
  <c r="G80" i="4" s="1"/>
  <c r="K80" i="4" s="1"/>
  <c r="G52" i="4"/>
  <c r="K52" i="4" s="1"/>
  <c r="G117" i="4"/>
  <c r="K117" i="4" s="1"/>
  <c r="I105" i="4"/>
  <c r="H15" i="4"/>
  <c r="J73" i="4"/>
  <c r="K73" i="4" s="1"/>
  <c r="J41" i="4"/>
  <c r="K41" i="4" s="1"/>
  <c r="I76" i="4"/>
  <c r="J76" i="4" s="1"/>
  <c r="K76" i="4" s="1"/>
  <c r="I120" i="4"/>
  <c r="J120" i="4" s="1"/>
  <c r="K120" i="4" s="1"/>
  <c r="I110" i="4"/>
  <c r="J89" i="4"/>
  <c r="K89" i="4" s="1"/>
  <c r="G100" i="4"/>
  <c r="K100" i="4" s="1"/>
  <c r="G97" i="4"/>
  <c r="H110" i="4"/>
  <c r="J110" i="4" s="1"/>
  <c r="K110" i="4" s="1"/>
  <c r="J97" i="4"/>
  <c r="K97" i="4" s="1"/>
  <c r="H43" i="4"/>
  <c r="J43" i="4" s="1"/>
  <c r="K43" i="4" s="1"/>
  <c r="E24" i="4"/>
  <c r="G24" i="4" s="1"/>
  <c r="K24" i="4" s="1"/>
  <c r="I15" i="4"/>
  <c r="I140" i="4" s="1"/>
  <c r="H92" i="4"/>
  <c r="J92" i="4" s="1"/>
  <c r="K92" i="4" s="1"/>
  <c r="H105" i="4"/>
  <c r="J105" i="4" s="1"/>
  <c r="K105" i="4" s="1"/>
  <c r="E140" i="4" l="1"/>
  <c r="G140" i="4" s="1"/>
  <c r="J15" i="4"/>
  <c r="K15" i="4" s="1"/>
  <c r="H140" i="4"/>
  <c r="J140" i="4" s="1"/>
  <c r="K140" i="4" l="1"/>
</calcChain>
</file>

<file path=xl/sharedStrings.xml><?xml version="1.0" encoding="utf-8"?>
<sst xmlns="http://schemas.openxmlformats.org/spreadsheetml/2006/main" count="323" uniqueCount="215">
  <si>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</si>
  <si>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</si>
  <si>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</si>
  <si>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</si>
  <si>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</si>
  <si>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</si>
  <si>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</si>
  <si>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</si>
  <si>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</si>
  <si>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</si>
  <si>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</si>
  <si>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</si>
  <si>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</si>
  <si>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</si>
  <si>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</si>
  <si>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</si>
  <si>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</si>
  <si>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</si>
  <si>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</si>
  <si>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</si>
  <si>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</si>
  <si>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</si>
  <si>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</si>
  <si>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</si>
  <si>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</si>
  <si>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</si>
  <si>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</si>
  <si>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</si>
  <si>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</si>
  <si>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</si>
  <si>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</si>
  <si>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</si>
  <si>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</si>
  <si>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</si>
  <si>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</si>
  <si>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</si>
  <si>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</si>
  <si>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</si>
  <si>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</si>
  <si>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</si>
  <si>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</si>
  <si>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</si>
  <si>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</si>
  <si>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</si>
  <si>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</si>
  <si>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</si>
  <si>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</si>
  <si>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</si>
  <si>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</si>
  <si>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</si>
  <si>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</si>
  <si>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</si>
  <si>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</si>
  <si>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</si>
  <si>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</si>
  <si>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</si>
  <si>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</si>
  <si>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</si>
  <si>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</si>
  <si>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</si>
  <si>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</si>
  <si>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</si>
  <si>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</si>
  <si>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</si>
  <si>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</si>
  <si>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</si>
  <si>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</si>
  <si>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</si>
  <si>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</si>
  <si>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</si>
  <si>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</si>
  <si>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</si>
  <si>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</si>
  <si>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</si>
  <si>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</si>
  <si>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</si>
  <si>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</si>
  <si>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</si>
  <si>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</si>
  <si>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</si>
  <si>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</si>
  <si>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</si>
  <si>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</si>
  <si>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</si>
  <si>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</si>
  <si>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</si>
  <si>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</si>
  <si>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</si>
  <si>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</si>
  <si>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</si>
  <si>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</si>
  <si>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</si>
  <si>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</si>
  <si>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</si>
  <si>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</si>
  <si>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</si>
  <si>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</si>
  <si>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</si>
  <si>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</si>
  <si>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</si>
  <si>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</si>
  <si>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</si>
  <si>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</si>
  <si>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</si>
  <si>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</si>
  <si>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</si>
  <si>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</si>
  <si>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</si>
  <si>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</si>
  <si>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</si>
  <si>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</si>
  <si>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</si>
  <si>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</si>
  <si>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</si>
  <si>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</si>
  <si>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</si>
  <si>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</si>
  <si>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</si>
  <si>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</si>
  <si>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</si>
  <si>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</si>
  <si>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</si>
  <si>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</si>
  <si>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</si>
  <si>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</si>
  <si>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</si>
  <si>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</si>
  <si>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</si>
  <si>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</si>
  <si>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</si>
  <si>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</si>
  <si>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</si>
  <si>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</si>
  <si>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</si>
  <si>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</si>
  <si>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</si>
  <si>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</si>
  <si>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</si>
  <si>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</si>
  <si>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</si>
  <si>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</si>
  <si>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</si>
  <si>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</si>
  <si>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</si>
  <si>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</si>
  <si>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</si>
  <si>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</si>
  <si>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</si>
  <si>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</si>
  <si>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</si>
  <si>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</si>
  <si>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</si>
  <si>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</si>
  <si>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3513033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</si>
  <si>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</si>
  <si>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</si>
  <si>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</si>
  <si>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</si>
  <si>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</si>
  <si>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</si>
  <si>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</si>
  <si>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</si>
  <si>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</si>
  <si>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</si>
  <si>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</si>
  <si>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</si>
  <si>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</si>
  <si>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</si>
  <si>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</si>
  <si>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</si>
  <si>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</si>
  <si>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</si>
  <si>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</si>
  <si>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</si>
  <si>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</si>
  <si>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</si>
  <si>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</si>
  <si>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</si>
  <si>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</si>
  <si>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</si>
  <si>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</si>
  <si>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</si>
  <si>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</si>
  <si>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</si>
  <si>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</si>
  <si>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</si>
  <si>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</si>
  <si>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</si>
  <si>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</si>
  <si>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</si>
  <si>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</si>
  <si>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</si>
  <si>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</si>
  <si>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</si>
  <si>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</si>
  <si>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</si>
  <si>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</si>
  <si>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</si>
  <si>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Департамент культури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</si>
  <si>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</si>
  <si>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</si>
  <si>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</si>
  <si>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</si>
  <si>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</si>
  <si>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</si>
  <si>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</si>
  <si>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</si>
  <si>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</si>
  <si>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</si>
  <si>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</si>
  <si>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</si>
  <si>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</si>
  <si>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t>Програма покращення якості надання публічних послуг органами виконавчої влади на 2023 рік</t>
  </si>
  <si>
    <t>Станом на 23.06.2023</t>
  </si>
  <si>
    <r>
      <t xml:space="preserve"> 2023 рік </t>
    </r>
    <r>
      <rPr>
        <sz val="14"/>
        <rFont val="Times New Roman"/>
        <family val="1"/>
        <charset val="204"/>
      </rPr>
      <t>(станом на 23.06.2023)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</si>
</sst>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82" formatCode="#,##0\ &quot;z?&quot;;[Red]\-#,##0\ &quot;z?&quot;"/>
    <numFmt numFmtId="183" formatCode="#,##0.00\ &quot;z?&quot;;[Red]\-#,##0.00\ &quot;z?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_-* #,##0\ &quot;р.&quot;_-;\-* #,##0\ &quot;р.&quot;_-;_-* &quot;-&quot;\ &quot;р.&quot;_-;_-@_-"/>
    <numFmt numFmtId="187" formatCode="_-* #,##0.00\ &quot;р.&quot;_-;\-* #,##0.00\ &quot;р.&quot;_-;_-* &quot;-&quot;??\ &quot;р.&quot;_-;_-@_-"/>
    <numFmt numFmtId="188" formatCode="_-* #,##0\ _z_?_-;\-* #,##0\ _z_?_-;_-* &quot;-&quot;\ _z_?_-;_-@_-"/>
    <numFmt numFmtId="189" formatCode="_-* #,##0.00\ _z_?_-;\-* #,##0.00\ _z_?_-;_-* &quot;-&quot;??\ _z_?_-;_-@_-"/>
    <numFmt numFmtId="190" formatCode="#,##0.\-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_-* #,##0.00\ &quot;грн.&quot;_-;\-* #,##0.00\ &quot;грн.&quot;_-;_-* &quot;-&quot;??\ &quot;грн.&quot;_-;_-@_-"/>
    <numFmt numFmtId="195" formatCode="_-* #,##0.00\ _г_р_н_._-;\-* #,##0.00\ _г_р_н_._-;_-* &quot;-&quot;??\ _г_р_н_._-;_-@_-"/>
    <numFmt numFmtId="197" formatCode="#,##0\ &quot;грн.&quot;;\-#,##0\ &quot;грн.&quot;"/>
    <numFmt numFmtId="198" formatCode="#,##0.0"/>
    <numFmt numFmtId="199" formatCode="#,##0.000"/>
    <numFmt numFmtId="200" formatCode="0.0"/>
  </numFmts>
  <fonts count="51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40">
    <xf numFmtId="0" fontId="0" fillId="0" borderId="0"/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6" fontId="12" fillId="0" borderId="0"/>
    <xf numFmtId="188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5" fillId="16" borderId="0"/>
    <xf numFmtId="0" fontId="16" fillId="17" borderId="0"/>
    <xf numFmtId="190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1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95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  <xf numFmtId="0" fontId="49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49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49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49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49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</cellStyleXfs>
  <cellXfs count="40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8" fontId="16" fillId="0" borderId="11" xfId="0" applyNumberFormat="1" applyFont="1" applyFill="1" applyBorder="1" applyAlignment="1">
      <alignment horizontal="center" vertical="center" wrapText="1"/>
    </xf>
    <xf numFmtId="19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200" fontId="17" fillId="0" borderId="0" xfId="0" applyNumberFormat="1" applyFont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98" fontId="17" fillId="0" borderId="0" xfId="0" applyNumberFormat="1" applyFont="1" applyBorder="1" applyAlignment="1">
      <alignment horizontal="center" vertical="center" wrapText="1"/>
    </xf>
    <xf numFmtId="198" fontId="17" fillId="0" borderId="0" xfId="0" applyNumberFormat="1" applyFont="1" applyAlignment="1">
      <alignment horizontal="center" vertical="center" wrapText="1"/>
    </xf>
    <xf numFmtId="19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98" fontId="40" fillId="0" borderId="11" xfId="0" applyNumberFormat="1" applyFont="1" applyFill="1" applyBorder="1" applyAlignment="1">
      <alignment horizontal="center" vertical="center" wrapText="1"/>
    </xf>
    <xf numFmtId="19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</cellXfs>
  <cellStyles count="240">
    <cellStyle name="?’ЋѓЋ‚›‰" xfId="1"/>
    <cellStyle name="?’ЋѓЋ‚›‰ 2" xfId="2"/>
    <cellStyle name="?’ЋѓЋ‚›‰_320_dod_1-8" xfId="3"/>
    <cellStyle name="_Veresen_derg" xfId="4"/>
    <cellStyle name="_Вик01102002 держ" xfId="5"/>
    <cellStyle name="_доходи" xfId="6"/>
    <cellStyle name="_Книга1" xfId="7"/>
    <cellStyle name="_освіта 25.12.2015 дод 9  2016" xfId="8"/>
    <cellStyle name="_ПНП" xfId="9"/>
    <cellStyle name="_Прогноз ДМ по районах" xfId="10"/>
    <cellStyle name="”?ЌЂЌ‘Ћ‚›‰" xfId="11"/>
    <cellStyle name="”?ЌЂЌ‘Ћ‚›‰ 2" xfId="12"/>
    <cellStyle name="”?ЌЂЌ‘Ћ‚›‰_320_dod_1-8" xfId="13"/>
    <cellStyle name="”?Љ‘?ђЋ‚ЂЌЌ›‰" xfId="14"/>
    <cellStyle name="”?Љ‘?ђЋ‚ЂЌЌ›‰ 2" xfId="15"/>
    <cellStyle name="”?Љ‘?ђЋ‚ЂЌЌ›‰_320_dod_1-8" xfId="16"/>
    <cellStyle name="”€ЌЂЌ‘Ћ‚›‰" xfId="17"/>
    <cellStyle name="”€ЌЂЌ‘Ћ‚›‰ 2" xfId="18"/>
    <cellStyle name="”€ЌЂЌ‘Ћ‚›‰_320_dod_1-8" xfId="19"/>
    <cellStyle name="”€Љ‘€ђЋ‚ЂЌЌ›‰" xfId="20"/>
    <cellStyle name="”€Љ‘€ђЋ‚ЂЌЌ›‰ 2" xfId="21"/>
    <cellStyle name="”€Љ‘€ђЋ‚ЂЌЌ›‰_320_dod_1-8" xfId="22"/>
    <cellStyle name="”ЌЂЌ‘Ћ‚›‰" xfId="23"/>
    <cellStyle name="”Љ‘ђЋ‚ЂЌЌ›‰" xfId="24"/>
    <cellStyle name="„…Ќ…†Ќ›‰" xfId="25"/>
    <cellStyle name="€’ЋѓЋ‚›‰" xfId="26"/>
    <cellStyle name="€’ЋѓЋ‚›‰ 2" xfId="27"/>
    <cellStyle name="€’ЋѓЋ‚›‰_320_dod_1-8" xfId="28"/>
    <cellStyle name="‡ЂѓЋ‹Ћ‚ЋЉ1" xfId="29"/>
    <cellStyle name="‡ЂѓЋ‹Ћ‚ЋЉ2" xfId="30"/>
    <cellStyle name="’ЋѓЋ‚›‰" xfId="31"/>
    <cellStyle name="" xfId="32"/>
    <cellStyle name="" xfId="33"/>
    <cellStyle name="_320_dod_1-8" xfId="34"/>
    <cellStyle name="_320_dod_1-8" xfId="35"/>
    <cellStyle name="_доходи" xfId="36"/>
    <cellStyle name="_доходи" xfId="37"/>
    <cellStyle name="_Лист1" xfId="38"/>
    <cellStyle name="_Лист1" xfId="39"/>
    <cellStyle name="_Лист1_1" xfId="40"/>
    <cellStyle name="_Лист1_1" xfId="41"/>
    <cellStyle name="_Лист1_1 2" xfId="42"/>
    <cellStyle name="_Лист1_1 2" xfId="43"/>
    <cellStyle name="_Лист1_1 3" xfId="44"/>
    <cellStyle name="_Лист1_1 3" xfId="45"/>
    <cellStyle name="_Лист1_1 4" xfId="46"/>
    <cellStyle name="_Лист1_1 4" xfId="47"/>
    <cellStyle name="_Лист1_1 5" xfId="48"/>
    <cellStyle name="_Лист1_1 5" xfId="49"/>
    <cellStyle name="_Лист1_1 6" xfId="50"/>
    <cellStyle name="_Лист1_1 6" xfId="51"/>
    <cellStyle name="_Лист1_1 7" xfId="52"/>
    <cellStyle name="_Лист1_1 7" xfId="53"/>
    <cellStyle name="" xfId="54"/>
    <cellStyle name="" xfId="55"/>
    <cellStyle name="_320_dod_1-8" xfId="56"/>
    <cellStyle name="_320_dod_1-8" xfId="57"/>
    <cellStyle name="_доходи" xfId="58"/>
    <cellStyle name="_доходи" xfId="59"/>
    <cellStyle name="_Лист1" xfId="60"/>
    <cellStyle name="_Лист1" xfId="61"/>
    <cellStyle name="_Лист1_1" xfId="62"/>
    <cellStyle name="_Лист1_1" xfId="63"/>
    <cellStyle name="_Лист1_1 2" xfId="64"/>
    <cellStyle name="_Лист1_1 2" xfId="65"/>
    <cellStyle name="_Лист1_1 3" xfId="66"/>
    <cellStyle name="_Лист1_1 3" xfId="67"/>
    <cellStyle name="_Лист1_1 4" xfId="68"/>
    <cellStyle name="_Лист1_1 4" xfId="69"/>
    <cellStyle name="_Лист1_1 5" xfId="70"/>
    <cellStyle name="_Лист1_1 5" xfId="71"/>
    <cellStyle name="_Лист1_1 6" xfId="72"/>
    <cellStyle name="_Лист1_1 6" xfId="73"/>
    <cellStyle name="_Лист1_1 7" xfId="74"/>
    <cellStyle name="_Лист1_1 7" xfId="75"/>
    <cellStyle name="" xfId="76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20% – колірна тема 1" xfId="217" builtinId="30" hidden="1"/>
    <cellStyle name="20% – колірна тема 2" xfId="221" builtinId="34" hidden="1"/>
    <cellStyle name="20% – колірна тема 3" xfId="225" builtinId="38" hidden="1"/>
    <cellStyle name="20% – колірна тема 4" xfId="229" builtinId="42" hidden="1"/>
    <cellStyle name="20% – колірна тема 5" xfId="233" builtinId="46" hidden="1"/>
    <cellStyle name="20% – колірна тема 6" xfId="237" builtinId="50" hidden="1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40% – колірна тема 1" xfId="218" builtinId="31" hidden="1"/>
    <cellStyle name="40% – колірна тема 2" xfId="222" builtinId="35" hidden="1"/>
    <cellStyle name="40% – колірна тема 3" xfId="226" builtinId="39" hidden="1"/>
    <cellStyle name="40% – колірна тема 4" xfId="230" builtinId="43" hidden="1"/>
    <cellStyle name="40% – колірна тема 5" xfId="234" builtinId="47" hidden="1"/>
    <cellStyle name="40% – колірна тема 6" xfId="238" builtinId="51" hidden="1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60% – колірна тема 1" xfId="219" builtinId="32" hidden="1"/>
    <cellStyle name="60% – колірна тема 2" xfId="223" builtinId="36" hidden="1"/>
    <cellStyle name="60% – колірна тема 3" xfId="227" builtinId="40" hidden="1"/>
    <cellStyle name="60% – колірна тема 4" xfId="231" builtinId="44" hidden="1"/>
    <cellStyle name="60% – колірна тема 5" xfId="235" builtinId="48" hidden="1"/>
    <cellStyle name="60% – колірна тема 6" xfId="239" builtinId="52" hidden="1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/>
    <cellStyle name="Акцентування2" xfId="135"/>
    <cellStyle name="Акцентування3" xfId="136"/>
    <cellStyle name="Акцентування4" xfId="137"/>
    <cellStyle name="Акцентування5" xfId="138"/>
    <cellStyle name="Акцентування6" xfId="139"/>
    <cellStyle name="Ввід" xfId="140" builtinId="20" customBuiltin="1"/>
    <cellStyle name="Ввод " xfId="141"/>
    <cellStyle name="Вывод" xfId="142"/>
    <cellStyle name="Вычисление" xfId="143"/>
    <cellStyle name="Гарний" xfId="144" builtinId="26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лірна тема 1" xfId="216" builtinId="29" hidden="1"/>
    <cellStyle name="Колірна тема 2" xfId="220" builtinId="33" hidden="1"/>
    <cellStyle name="Колірна тема 3" xfId="224" builtinId="37" hidden="1"/>
    <cellStyle name="Колірна тема 4" xfId="228" builtinId="41" hidden="1"/>
    <cellStyle name="Колірна тема 5" xfId="232" builtinId="45" hidden="1"/>
    <cellStyle name="Колірна тема 6" xfId="236" builtinId="49" hidden="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 builtinId="28" customBuiltin="1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tabSelected="1" view="pageBreakPreview" zoomScale="75" zoomScaleNormal="60" zoomScaleSheetLayoutView="75" workbookViewId="0">
      <pane xSplit="3" ySplit="4" topLeftCell="D26" activePane="bottomRight" state="frozen"/>
      <selection pane="topRight" activeCell="D1" sqref="D1"/>
      <selection pane="bottomLeft" activeCell="A5" sqref="A5"/>
      <selection pane="bottomRight" activeCell="L1" sqref="L1:Z65536"/>
    </sheetView>
  </sheetViews>
  <sheetFormatPr defaultRowHeight="18.75"/>
  <cols>
    <col min="1" max="1" width="6" style="3" customWidth="1"/>
    <col min="2" max="2" width="14.7109375" style="8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2" width="9.140625" style="3"/>
    <col min="13" max="13" width="15" style="3" customWidth="1"/>
    <col min="14" max="14" width="11.5703125" style="3" customWidth="1"/>
    <col min="15" max="17" width="9.140625" style="3"/>
    <col min="18" max="18" width="14.140625" style="3" customWidth="1"/>
    <col min="19" max="19" width="45.140625" style="3" customWidth="1"/>
    <col min="20" max="20" width="15.42578125" style="3" bestFit="1" customWidth="1"/>
    <col min="21" max="21" width="15.7109375" style="3" bestFit="1" customWidth="1"/>
    <col min="22" max="22" width="14.28515625" style="3" bestFit="1" customWidth="1"/>
    <col min="23" max="23" width="12.42578125" style="3" bestFit="1" customWidth="1"/>
    <col min="24" max="16384" width="9.140625" style="3"/>
  </cols>
  <sheetData>
    <row r="1" spans="1:23" ht="18.75" customHeight="1">
      <c r="A1" s="37" t="s">
        <v>173</v>
      </c>
      <c r="B1" s="37"/>
      <c r="C1" s="37"/>
      <c r="D1" s="37"/>
      <c r="E1" s="37"/>
      <c r="F1" s="37"/>
      <c r="G1" s="37"/>
      <c r="H1" s="37"/>
      <c r="I1" s="37"/>
      <c r="J1" s="37"/>
      <c r="K1" s="13"/>
    </row>
    <row r="2" spans="1:23">
      <c r="A2" s="2" t="s">
        <v>14</v>
      </c>
      <c r="B2" s="7"/>
      <c r="C2" s="4"/>
      <c r="D2" s="38" t="s">
        <v>213</v>
      </c>
      <c r="E2" s="38"/>
      <c r="F2" s="2"/>
      <c r="G2" s="2"/>
      <c r="H2" s="2"/>
      <c r="I2" s="2"/>
      <c r="J2" s="14" t="s">
        <v>137</v>
      </c>
      <c r="K2" s="14"/>
    </row>
    <row r="3" spans="1:23" ht="28.9" customHeight="1">
      <c r="A3" s="34" t="s">
        <v>6</v>
      </c>
      <c r="B3" s="35" t="s">
        <v>25</v>
      </c>
      <c r="C3" s="34" t="s">
        <v>5</v>
      </c>
      <c r="D3" s="34" t="s">
        <v>0</v>
      </c>
      <c r="E3" s="34" t="s">
        <v>7</v>
      </c>
      <c r="F3" s="34"/>
      <c r="G3" s="34"/>
      <c r="H3" s="34" t="s">
        <v>8</v>
      </c>
      <c r="I3" s="34"/>
      <c r="J3" s="34"/>
      <c r="K3" s="34" t="s">
        <v>139</v>
      </c>
    </row>
    <row r="4" spans="1:23" ht="107.25" customHeight="1">
      <c r="A4" s="34"/>
      <c r="B4" s="35"/>
      <c r="C4" s="34"/>
      <c r="D4" s="34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4"/>
      <c r="S4" s="6"/>
      <c r="T4" s="6"/>
      <c r="U4" s="6"/>
      <c r="V4" s="6"/>
      <c r="W4" s="6"/>
    </row>
    <row r="5" spans="1:23" ht="113.25" customHeight="1">
      <c r="A5" s="34">
        <v>1</v>
      </c>
      <c r="B5" s="11" t="s">
        <v>47</v>
      </c>
      <c r="C5" s="20" t="s">
        <v>159</v>
      </c>
      <c r="D5" s="15" t="s">
        <v>11</v>
      </c>
      <c r="E5" s="9">
        <f>E6+E7+E9+E8</f>
        <v>4971.1000000000004</v>
      </c>
      <c r="F5" s="9">
        <f>F6+F7+F9+F8</f>
        <v>2800</v>
      </c>
      <c r="G5" s="9">
        <f t="shared" ref="G5:G10" si="0">E5+F5</f>
        <v>7771.1</v>
      </c>
      <c r="H5" s="9">
        <f>H6+H7+H9+H8</f>
        <v>1447.7739999999999</v>
      </c>
      <c r="I5" s="9">
        <f>I6+I7+I9+I8</f>
        <v>1160</v>
      </c>
      <c r="J5" s="9">
        <f t="shared" ref="J5:J11" si="1">H5+I5</f>
        <v>2607.7739999999999</v>
      </c>
      <c r="K5" s="9">
        <f t="shared" ref="K5:K25" si="2">J5/G5*100</f>
        <v>33.55733422552791</v>
      </c>
      <c r="M5" s="18"/>
      <c r="S5" s="12"/>
      <c r="T5" s="12"/>
      <c r="U5" s="12"/>
      <c r="V5" s="12"/>
      <c r="W5" s="12"/>
    </row>
    <row r="6" spans="1:23" ht="63" customHeight="1">
      <c r="A6" s="34"/>
      <c r="B6" s="11" t="s">
        <v>49</v>
      </c>
      <c r="C6" s="1" t="s">
        <v>48</v>
      </c>
      <c r="D6" s="1" t="s">
        <v>12</v>
      </c>
      <c r="E6" s="10">
        <v>1400</v>
      </c>
      <c r="F6" s="10"/>
      <c r="G6" s="9">
        <f t="shared" si="0"/>
        <v>1400</v>
      </c>
      <c r="H6" s="10">
        <f>21.62+23.5+66.874+152.3+31.5+36+92+15.2+1.4+17.52+4.6+334.7+3.3+4.26+2.6</f>
        <v>807.37399999999991</v>
      </c>
      <c r="I6" s="10"/>
      <c r="J6" s="9">
        <f t="shared" si="1"/>
        <v>807.37399999999991</v>
      </c>
      <c r="K6" s="9">
        <f t="shared" si="2"/>
        <v>57.669571428571423</v>
      </c>
      <c r="M6" s="18"/>
      <c r="S6" s="12"/>
      <c r="T6" s="12"/>
      <c r="U6" s="12"/>
      <c r="V6" s="12"/>
      <c r="W6" s="12"/>
    </row>
    <row r="7" spans="1:23" ht="60.75" customHeight="1">
      <c r="A7" s="34"/>
      <c r="B7" s="11" t="s">
        <v>64</v>
      </c>
      <c r="C7" s="1" t="s">
        <v>48</v>
      </c>
      <c r="D7" s="1" t="s">
        <v>15</v>
      </c>
      <c r="E7" s="10">
        <f>2000+150</f>
        <v>2150</v>
      </c>
      <c r="F7" s="10"/>
      <c r="G7" s="9">
        <f t="shared" si="0"/>
        <v>2150</v>
      </c>
      <c r="H7" s="10">
        <f>57.41+11.7+43.3+30+99.6+82.2</f>
        <v>324.20999999999998</v>
      </c>
      <c r="I7" s="10"/>
      <c r="J7" s="9">
        <f t="shared" si="1"/>
        <v>324.20999999999998</v>
      </c>
      <c r="K7" s="9">
        <f t="shared" si="2"/>
        <v>15.07953488372093</v>
      </c>
      <c r="M7" s="18"/>
      <c r="S7" s="12"/>
      <c r="T7" s="12"/>
      <c r="U7" s="12"/>
      <c r="V7" s="12"/>
      <c r="W7" s="12"/>
    </row>
    <row r="8" spans="1:23" ht="63.75" customHeight="1">
      <c r="A8" s="34"/>
      <c r="B8" s="11" t="s">
        <v>141</v>
      </c>
      <c r="C8" s="1" t="s">
        <v>142</v>
      </c>
      <c r="D8" s="34" t="s">
        <v>65</v>
      </c>
      <c r="E8" s="10"/>
      <c r="F8" s="10">
        <v>2800</v>
      </c>
      <c r="G8" s="9">
        <f t="shared" si="0"/>
        <v>2800</v>
      </c>
      <c r="H8" s="10"/>
      <c r="I8" s="10">
        <f>690+470</f>
        <v>1160</v>
      </c>
      <c r="J8" s="9">
        <f t="shared" si="1"/>
        <v>1160</v>
      </c>
      <c r="K8" s="9">
        <f t="shared" si="2"/>
        <v>41.428571428571431</v>
      </c>
      <c r="M8" s="18"/>
      <c r="S8" s="12"/>
      <c r="T8" s="12"/>
      <c r="U8" s="12"/>
      <c r="V8" s="12"/>
      <c r="W8" s="12"/>
    </row>
    <row r="9" spans="1:23" ht="71.25" customHeight="1">
      <c r="A9" s="34"/>
      <c r="B9" s="11" t="s">
        <v>69</v>
      </c>
      <c r="C9" s="1" t="s">
        <v>50</v>
      </c>
      <c r="D9" s="34"/>
      <c r="E9" s="10">
        <f>1370+51.1</f>
        <v>1421.1</v>
      </c>
      <c r="F9" s="10"/>
      <c r="G9" s="9">
        <f t="shared" si="0"/>
        <v>1421.1</v>
      </c>
      <c r="H9" s="10">
        <f>54.16+11.3+40.23+51.3+8.5+2.7+3.5+2.4+31.3+21.8+14+38.2+10.5+26.3</f>
        <v>316.19000000000005</v>
      </c>
      <c r="I9" s="10"/>
      <c r="J9" s="9">
        <f t="shared" si="1"/>
        <v>316.19000000000005</v>
      </c>
      <c r="K9" s="9">
        <f t="shared" si="2"/>
        <v>22.24966575188235</v>
      </c>
      <c r="M9" s="18"/>
      <c r="S9" s="12"/>
      <c r="T9" s="12"/>
      <c r="U9" s="12"/>
      <c r="V9" s="12"/>
      <c r="W9" s="12"/>
    </row>
    <row r="10" spans="1:23" ht="128.25" customHeight="1">
      <c r="A10" s="34">
        <v>2</v>
      </c>
      <c r="B10" s="16"/>
      <c r="C10" s="21" t="s">
        <v>66</v>
      </c>
      <c r="D10" s="15" t="s">
        <v>11</v>
      </c>
      <c r="E10" s="9">
        <f>SUM(E11:E14)</f>
        <v>44640</v>
      </c>
      <c r="F10" s="9">
        <f>SUM(F11:F14)</f>
        <v>0</v>
      </c>
      <c r="G10" s="9">
        <f t="shared" si="0"/>
        <v>44640</v>
      </c>
      <c r="H10" s="9">
        <f>SUM(H11:H14)</f>
        <v>19399.7</v>
      </c>
      <c r="I10" s="9">
        <f>SUM(I11:I14)</f>
        <v>0</v>
      </c>
      <c r="J10" s="9">
        <f t="shared" si="1"/>
        <v>19399.7</v>
      </c>
      <c r="K10" s="9">
        <f t="shared" si="2"/>
        <v>43.458109318996421</v>
      </c>
      <c r="M10" s="18"/>
      <c r="S10" s="12"/>
      <c r="T10" s="12"/>
      <c r="U10" s="12"/>
      <c r="V10" s="12"/>
      <c r="W10" s="12"/>
    </row>
    <row r="11" spans="1:23" ht="62.25" customHeight="1">
      <c r="A11" s="34"/>
      <c r="B11" s="11" t="s">
        <v>67</v>
      </c>
      <c r="C11" s="1" t="s">
        <v>27</v>
      </c>
      <c r="D11" s="1" t="s">
        <v>12</v>
      </c>
      <c r="E11" s="10">
        <v>1700</v>
      </c>
      <c r="F11" s="10"/>
      <c r="G11" s="9">
        <f t="shared" ref="G11:G18" si="3">E11+F11</f>
        <v>1700</v>
      </c>
      <c r="H11" s="10">
        <f>2+2+7+8+2</f>
        <v>21</v>
      </c>
      <c r="I11" s="10"/>
      <c r="J11" s="9">
        <f t="shared" si="1"/>
        <v>21</v>
      </c>
      <c r="K11" s="9">
        <f t="shared" si="2"/>
        <v>1.2352941176470587</v>
      </c>
      <c r="M11" s="18"/>
      <c r="S11" s="12"/>
      <c r="T11" s="12"/>
      <c r="U11" s="12"/>
      <c r="V11" s="12"/>
      <c r="W11" s="12"/>
    </row>
    <row r="12" spans="1:23" ht="63" customHeight="1">
      <c r="A12" s="34"/>
      <c r="B12" s="11" t="s">
        <v>69</v>
      </c>
      <c r="C12" s="1" t="s">
        <v>70</v>
      </c>
      <c r="D12" s="34" t="s">
        <v>65</v>
      </c>
      <c r="E12" s="10">
        <v>370</v>
      </c>
      <c r="F12" s="10"/>
      <c r="G12" s="9">
        <f t="shared" si="3"/>
        <v>370</v>
      </c>
      <c r="H12" s="10"/>
      <c r="I12" s="10"/>
      <c r="J12" s="9">
        <f t="shared" ref="J12:J18" si="4">H12+I12</f>
        <v>0</v>
      </c>
      <c r="K12" s="9">
        <f t="shared" si="2"/>
        <v>0</v>
      </c>
      <c r="M12" s="18"/>
      <c r="S12" s="12"/>
      <c r="T12" s="12"/>
      <c r="U12" s="12"/>
      <c r="V12" s="12"/>
      <c r="W12" s="12"/>
    </row>
    <row r="13" spans="1:23" ht="64.5" customHeight="1">
      <c r="A13" s="34"/>
      <c r="B13" s="11">
        <v>2318410</v>
      </c>
      <c r="C13" s="1" t="s">
        <v>26</v>
      </c>
      <c r="D13" s="34"/>
      <c r="E13" s="10">
        <v>39620</v>
      </c>
      <c r="F13" s="10"/>
      <c r="G13" s="9">
        <f t="shared" si="3"/>
        <v>39620</v>
      </c>
      <c r="H13" s="10">
        <f>536.8+2501+512.4+2490.4+524.2+49.6+2440+750+2376.6+1260.4+1812+991.5+35.1+2040</f>
        <v>18320</v>
      </c>
      <c r="I13" s="10"/>
      <c r="J13" s="9">
        <f t="shared" si="4"/>
        <v>18320</v>
      </c>
      <c r="K13" s="9">
        <f t="shared" si="2"/>
        <v>46.239273094396772</v>
      </c>
      <c r="M13" s="18"/>
      <c r="S13" s="12"/>
      <c r="T13" s="12"/>
      <c r="U13" s="12"/>
      <c r="V13" s="12"/>
      <c r="W13" s="12"/>
    </row>
    <row r="14" spans="1:23" ht="63" customHeight="1">
      <c r="A14" s="34"/>
      <c r="B14" s="11" t="s">
        <v>68</v>
      </c>
      <c r="C14" s="1" t="s">
        <v>27</v>
      </c>
      <c r="D14" s="34"/>
      <c r="E14" s="10">
        <v>2950</v>
      </c>
      <c r="F14" s="10"/>
      <c r="G14" s="9">
        <f t="shared" si="3"/>
        <v>2950</v>
      </c>
      <c r="H14" s="10">
        <f>4.5+1+61.6+25.7+44.1+69.9+32.8+44.7+23+24.9+129.8+31.6+301.5+16.1+220+27.5</f>
        <v>1058.7</v>
      </c>
      <c r="I14" s="10"/>
      <c r="J14" s="9">
        <f t="shared" si="4"/>
        <v>1058.7</v>
      </c>
      <c r="K14" s="9">
        <f t="shared" si="2"/>
        <v>35.888135593220341</v>
      </c>
      <c r="M14" s="18"/>
      <c r="S14" s="12"/>
      <c r="T14" s="12"/>
      <c r="U14" s="12"/>
      <c r="V14" s="12"/>
      <c r="W14" s="12"/>
    </row>
    <row r="15" spans="1:23" ht="121.5" customHeight="1">
      <c r="A15" s="34">
        <v>3</v>
      </c>
      <c r="B15" s="1"/>
      <c r="C15" s="21" t="s">
        <v>71</v>
      </c>
      <c r="D15" s="15" t="s">
        <v>11</v>
      </c>
      <c r="E15" s="9">
        <f>SUM(E16:E18)</f>
        <v>62803.200000000004</v>
      </c>
      <c r="F15" s="9">
        <f>SUM(F16:F18)</f>
        <v>26925.9</v>
      </c>
      <c r="G15" s="9">
        <f t="shared" si="3"/>
        <v>89729.1</v>
      </c>
      <c r="H15" s="9">
        <f>SUM(H16:H18)</f>
        <v>8593.1999999999989</v>
      </c>
      <c r="I15" s="9">
        <f>SUM(I16:I18)</f>
        <v>1180</v>
      </c>
      <c r="J15" s="9">
        <f>H15+I15</f>
        <v>9773.1999999999989</v>
      </c>
      <c r="K15" s="9">
        <f t="shared" si="2"/>
        <v>10.891895717219942</v>
      </c>
      <c r="M15" s="18"/>
      <c r="S15" s="12"/>
      <c r="T15" s="12"/>
      <c r="U15" s="12"/>
      <c r="V15" s="12"/>
      <c r="W15" s="12"/>
    </row>
    <row r="16" spans="1:23" ht="99.75" customHeight="1">
      <c r="A16" s="34"/>
      <c r="B16" s="11" t="s">
        <v>73</v>
      </c>
      <c r="C16" s="1" t="s">
        <v>74</v>
      </c>
      <c r="D16" s="34" t="s">
        <v>13</v>
      </c>
      <c r="E16" s="10">
        <f>6500+93.2</f>
        <v>6593.2</v>
      </c>
      <c r="F16" s="10"/>
      <c r="G16" s="9">
        <f t="shared" si="3"/>
        <v>6593.2</v>
      </c>
      <c r="H16" s="10">
        <f>219.6+25.1+158.5+166.9+36.7+288.5+114.2+327.8+127.8+244.3+194.5+198.2+566+568</f>
        <v>3236.1</v>
      </c>
      <c r="I16" s="10"/>
      <c r="J16" s="9">
        <f t="shared" si="4"/>
        <v>3236.1</v>
      </c>
      <c r="K16" s="9">
        <f t="shared" si="2"/>
        <v>49.082387914821332</v>
      </c>
      <c r="M16" s="18"/>
      <c r="S16" s="12"/>
      <c r="T16" s="12"/>
      <c r="U16" s="12"/>
      <c r="V16" s="12"/>
      <c r="W16" s="12"/>
    </row>
    <row r="17" spans="1:23" ht="79.5" customHeight="1">
      <c r="A17" s="34"/>
      <c r="B17" s="11" t="s">
        <v>72</v>
      </c>
      <c r="C17" s="1" t="s">
        <v>51</v>
      </c>
      <c r="D17" s="34"/>
      <c r="E17" s="10">
        <f>58413.9+23308.7-25745.9-723.6</f>
        <v>55253.100000000006</v>
      </c>
      <c r="F17" s="10">
        <f>1180+25745.9</f>
        <v>26925.9</v>
      </c>
      <c r="G17" s="9">
        <f t="shared" si="3"/>
        <v>82179</v>
      </c>
      <c r="H17" s="10">
        <f>913.9+56+27.5+9.6+417.5+27.1+3128.8+159.4+39.6+344.4</f>
        <v>5123.7999999999993</v>
      </c>
      <c r="I17" s="10">
        <f>1180</f>
        <v>1180</v>
      </c>
      <c r="J17" s="9">
        <f t="shared" si="4"/>
        <v>6303.7999999999993</v>
      </c>
      <c r="K17" s="9">
        <f t="shared" si="2"/>
        <v>7.6708161452439176</v>
      </c>
      <c r="M17" s="18"/>
      <c r="S17" s="12"/>
      <c r="T17" s="12"/>
      <c r="U17" s="12"/>
      <c r="V17" s="12"/>
      <c r="W17" s="12"/>
    </row>
    <row r="18" spans="1:23" ht="69.75" customHeight="1">
      <c r="A18" s="34"/>
      <c r="B18" s="11" t="s">
        <v>196</v>
      </c>
      <c r="C18" s="1" t="s">
        <v>53</v>
      </c>
      <c r="D18" s="34"/>
      <c r="E18" s="10">
        <f>233.3+723.6</f>
        <v>956.90000000000009</v>
      </c>
      <c r="F18" s="10"/>
      <c r="G18" s="9">
        <f t="shared" si="3"/>
        <v>956.90000000000009</v>
      </c>
      <c r="H18" s="10">
        <f>233.3</f>
        <v>233.3</v>
      </c>
      <c r="I18" s="10"/>
      <c r="J18" s="9">
        <f t="shared" si="4"/>
        <v>233.3</v>
      </c>
      <c r="K18" s="9">
        <f t="shared" si="2"/>
        <v>24.380813042115161</v>
      </c>
      <c r="M18" s="18"/>
      <c r="S18" s="12"/>
      <c r="T18" s="12"/>
      <c r="U18" s="12"/>
      <c r="V18" s="12"/>
      <c r="W18" s="12"/>
    </row>
    <row r="19" spans="1:23" ht="140.25" customHeight="1">
      <c r="A19" s="34">
        <v>4</v>
      </c>
      <c r="B19" s="11"/>
      <c r="C19" s="21" t="s">
        <v>197</v>
      </c>
      <c r="D19" s="15" t="s">
        <v>11</v>
      </c>
      <c r="E19" s="9">
        <f>SUM(E20:E23)</f>
        <v>3522.5</v>
      </c>
      <c r="F19" s="9">
        <f>SUM(F20:F23)</f>
        <v>0</v>
      </c>
      <c r="G19" s="9">
        <f>SUM(E19:F19)</f>
        <v>3522.5</v>
      </c>
      <c r="H19" s="9">
        <f>SUM(H20:H23)</f>
        <v>674</v>
      </c>
      <c r="I19" s="9">
        <f>SUM(I20:I23)</f>
        <v>0</v>
      </c>
      <c r="J19" s="9">
        <f>SUM(H19:I19)</f>
        <v>674</v>
      </c>
      <c r="K19" s="9">
        <f>J19/G19*100</f>
        <v>19.134137686302342</v>
      </c>
      <c r="M19" s="18"/>
      <c r="S19" s="12"/>
      <c r="T19" s="12"/>
      <c r="U19" s="12"/>
      <c r="V19" s="12"/>
      <c r="W19" s="12"/>
    </row>
    <row r="20" spans="1:23" ht="73.5" customHeight="1">
      <c r="A20" s="34"/>
      <c r="B20" s="11" t="s">
        <v>72</v>
      </c>
      <c r="C20" s="1" t="s">
        <v>51</v>
      </c>
      <c r="D20" s="1" t="s">
        <v>13</v>
      </c>
      <c r="E20" s="10">
        <f>1872.5</f>
        <v>1872.5</v>
      </c>
      <c r="F20" s="10"/>
      <c r="G20" s="9">
        <f>SUM(E20:F20)</f>
        <v>1872.5</v>
      </c>
      <c r="H20" s="10">
        <f>300</f>
        <v>300</v>
      </c>
      <c r="I20" s="10"/>
      <c r="J20" s="9">
        <f>SUM(H20:I20)</f>
        <v>300</v>
      </c>
      <c r="K20" s="9">
        <f>J20/G20*100</f>
        <v>16.021361815754339</v>
      </c>
      <c r="M20" s="18"/>
      <c r="S20" s="12"/>
      <c r="T20" s="12"/>
      <c r="U20" s="12"/>
      <c r="V20" s="12"/>
      <c r="W20" s="12"/>
    </row>
    <row r="21" spans="1:23" ht="73.5" customHeight="1">
      <c r="A21" s="34"/>
      <c r="B21" s="11" t="s">
        <v>204</v>
      </c>
      <c r="C21" s="1" t="s">
        <v>53</v>
      </c>
      <c r="D21" s="31" t="s">
        <v>198</v>
      </c>
      <c r="E21" s="10">
        <v>365</v>
      </c>
      <c r="F21" s="10"/>
      <c r="G21" s="9">
        <f>SUM(E21:F21)</f>
        <v>365</v>
      </c>
      <c r="H21" s="10">
        <v>365</v>
      </c>
      <c r="I21" s="10"/>
      <c r="J21" s="9">
        <f>SUM(H21:I21)</f>
        <v>365</v>
      </c>
      <c r="K21" s="9">
        <f>J21/G21*100</f>
        <v>100</v>
      </c>
      <c r="M21" s="18"/>
      <c r="S21" s="12"/>
      <c r="T21" s="12"/>
      <c r="U21" s="12"/>
      <c r="V21" s="12"/>
      <c r="W21" s="12"/>
    </row>
    <row r="22" spans="1:23" ht="72.75" customHeight="1">
      <c r="A22" s="34"/>
      <c r="B22" s="11" t="s">
        <v>40</v>
      </c>
      <c r="C22" s="1" t="s">
        <v>140</v>
      </c>
      <c r="D22" s="32"/>
      <c r="E22" s="10">
        <f>1465-365</f>
        <v>1100</v>
      </c>
      <c r="F22" s="10"/>
      <c r="G22" s="9">
        <f>SUM(E22:F22)</f>
        <v>1100</v>
      </c>
      <c r="H22" s="10"/>
      <c r="I22" s="10"/>
      <c r="J22" s="9">
        <f>SUM(H22:I22)</f>
        <v>0</v>
      </c>
      <c r="K22" s="9">
        <f>J22/G22*100</f>
        <v>0</v>
      </c>
      <c r="M22" s="18"/>
      <c r="S22" s="12"/>
      <c r="T22" s="12"/>
      <c r="U22" s="12"/>
      <c r="V22" s="12"/>
      <c r="W22" s="12"/>
    </row>
    <row r="23" spans="1:23" ht="79.5" customHeight="1">
      <c r="A23" s="34"/>
      <c r="B23" s="11" t="s">
        <v>68</v>
      </c>
      <c r="C23" s="1" t="s">
        <v>27</v>
      </c>
      <c r="D23" s="1" t="s">
        <v>65</v>
      </c>
      <c r="E23" s="10">
        <f>185</f>
        <v>185</v>
      </c>
      <c r="F23" s="10"/>
      <c r="G23" s="9">
        <f>SUM(E23:F23)</f>
        <v>185</v>
      </c>
      <c r="H23" s="10">
        <f>1.5+4.5+3</f>
        <v>9</v>
      </c>
      <c r="I23" s="10"/>
      <c r="J23" s="9">
        <f>SUM(H23:I23)</f>
        <v>9</v>
      </c>
      <c r="K23" s="9">
        <f>J23/G23*100</f>
        <v>4.8648648648648649</v>
      </c>
      <c r="M23" s="18"/>
      <c r="S23" s="12"/>
      <c r="T23" s="12"/>
      <c r="U23" s="12"/>
      <c r="V23" s="12"/>
      <c r="W23" s="12"/>
    </row>
    <row r="24" spans="1:23" ht="75" customHeight="1">
      <c r="A24" s="34">
        <v>5</v>
      </c>
      <c r="B24" s="11"/>
      <c r="C24" s="21" t="s">
        <v>75</v>
      </c>
      <c r="D24" s="15" t="s">
        <v>11</v>
      </c>
      <c r="E24" s="27">
        <f>SUM(E25:E37)</f>
        <v>788923.4</v>
      </c>
      <c r="F24" s="27">
        <f>SUM(F25:F37)</f>
        <v>218687</v>
      </c>
      <c r="G24" s="9">
        <f>E24+F24</f>
        <v>1007610.4</v>
      </c>
      <c r="H24" s="27">
        <f>SUM(H25:H37)</f>
        <v>347247.5</v>
      </c>
      <c r="I24" s="27">
        <f>SUM(I25:I37)</f>
        <v>34716.9</v>
      </c>
      <c r="J24" s="9">
        <f>H24+I24</f>
        <v>381964.4</v>
      </c>
      <c r="K24" s="9">
        <f t="shared" si="2"/>
        <v>37.907945372536844</v>
      </c>
      <c r="M24" s="18"/>
      <c r="N24" s="18"/>
      <c r="S24" s="12"/>
      <c r="T24" s="12"/>
      <c r="U24" s="12"/>
      <c r="V24" s="12"/>
      <c r="W24" s="12"/>
    </row>
    <row r="25" spans="1:23" ht="62.25" customHeight="1">
      <c r="A25" s="34"/>
      <c r="B25" s="11" t="s">
        <v>76</v>
      </c>
      <c r="C25" s="1" t="s">
        <v>77</v>
      </c>
      <c r="D25" s="31" t="s">
        <v>9</v>
      </c>
      <c r="E25" s="28">
        <f>51730.45+169.6+866.6</f>
        <v>52766.649999999994</v>
      </c>
      <c r="F25" s="10">
        <f>47.9+4039.8</f>
        <v>4087.7000000000003</v>
      </c>
      <c r="G25" s="9">
        <f>E25+F25</f>
        <v>56854.349999999991</v>
      </c>
      <c r="H25" s="10">
        <f>3.6+3246.6+2965.5+104.7+244.9+3227.9+1684.5+507.8+838.5+141.1+2555.5+235+862+3119.8+1391.1+1440.8</f>
        <v>22569.299999999996</v>
      </c>
      <c r="I25" s="10">
        <f>47.9+1221</f>
        <v>1268.9000000000001</v>
      </c>
      <c r="J25" s="9">
        <f>H25+I25</f>
        <v>23838.199999999997</v>
      </c>
      <c r="K25" s="9">
        <f t="shared" si="2"/>
        <v>41.92854196732528</v>
      </c>
      <c r="M25" s="18"/>
      <c r="S25" s="12"/>
      <c r="T25" s="12"/>
      <c r="U25" s="12"/>
      <c r="V25" s="12"/>
      <c r="W25" s="12"/>
    </row>
    <row r="26" spans="1:23" ht="59.25" customHeight="1">
      <c r="A26" s="34"/>
      <c r="B26" s="11" t="s">
        <v>78</v>
      </c>
      <c r="C26" s="1" t="s">
        <v>79</v>
      </c>
      <c r="D26" s="33"/>
      <c r="E26" s="28">
        <f>226203.977+28874.4+20933.5-1782.7+231.8</f>
        <v>274460.97699999996</v>
      </c>
      <c r="F26" s="10">
        <f>773.6+20000+10000+37552.5</f>
        <v>68326.100000000006</v>
      </c>
      <c r="G26" s="9">
        <f t="shared" ref="G26:G37" si="5">E26+F26</f>
        <v>342787.07699999993</v>
      </c>
      <c r="H26" s="10">
        <f>268.4+14163.8+29.2+309.2+2340.7+11141.3+3371.1+29909.2+11447.9+7692.8+3920.3+1400+1800+1039.9+6403.5+950+7426.9+6327.1+6895.4+2362.6+1028.1+6056.2+6467.3+2772.1+55+2973.2+5213.1+2706</f>
        <v>146470.30000000002</v>
      </c>
      <c r="I26" s="10">
        <f>773.6</f>
        <v>773.6</v>
      </c>
      <c r="J26" s="9">
        <f t="shared" ref="J26:J37" si="6">H26+I26</f>
        <v>147243.90000000002</v>
      </c>
      <c r="K26" s="9">
        <f t="shared" ref="K26:K37" si="7">J26/G26*100</f>
        <v>42.954915712881451</v>
      </c>
      <c r="M26" s="18"/>
      <c r="S26" s="12"/>
      <c r="T26" s="12"/>
      <c r="U26" s="12"/>
      <c r="V26" s="12"/>
      <c r="W26" s="12"/>
    </row>
    <row r="27" spans="1:23" ht="55.5" customHeight="1">
      <c r="A27" s="34"/>
      <c r="B27" s="11" t="s">
        <v>80</v>
      </c>
      <c r="C27" s="1" t="s">
        <v>81</v>
      </c>
      <c r="D27" s="33"/>
      <c r="E27" s="28">
        <v>19757</v>
      </c>
      <c r="F27" s="10">
        <f>10405.9</f>
        <v>10405.9</v>
      </c>
      <c r="G27" s="9">
        <f t="shared" si="5"/>
        <v>30162.9</v>
      </c>
      <c r="H27" s="10">
        <f>121.1+3.1+1180.8+626+77.2+3.2+1555.4+57+45.8+1+998.1+553.5+4.1+24.9+707.6+403.1+157.9+2.8+40.8+358.1+403.6</f>
        <v>7325.1000000000022</v>
      </c>
      <c r="I27" s="10">
        <v>10405.9</v>
      </c>
      <c r="J27" s="9">
        <f t="shared" si="6"/>
        <v>17731</v>
      </c>
      <c r="K27" s="9">
        <f t="shared" si="7"/>
        <v>58.784135477689482</v>
      </c>
      <c r="M27" s="18"/>
      <c r="S27" s="12"/>
      <c r="T27" s="12"/>
      <c r="U27" s="12"/>
      <c r="V27" s="12"/>
      <c r="W27" s="12"/>
    </row>
    <row r="28" spans="1:23" ht="63.75" customHeight="1">
      <c r="A28" s="34"/>
      <c r="B28" s="11" t="s">
        <v>82</v>
      </c>
      <c r="C28" s="1" t="s">
        <v>83</v>
      </c>
      <c r="D28" s="33"/>
      <c r="E28" s="28">
        <f>60257.086+109.3+139.2</f>
        <v>60505.586000000003</v>
      </c>
      <c r="F28" s="10"/>
      <c r="G28" s="9">
        <f t="shared" si="5"/>
        <v>60505.586000000003</v>
      </c>
      <c r="H28" s="10">
        <f>19.3+11+5256.5+310.4+2434.75+81.2+1844.85-1060.35+1061.35+2514.7+1835.5+209.4+1394.5+1386+806.8+1242+1260+58.5+1320.8+1743.7+241</f>
        <v>23971.899999999998</v>
      </c>
      <c r="I28" s="10"/>
      <c r="J28" s="9">
        <f t="shared" si="6"/>
        <v>23971.899999999998</v>
      </c>
      <c r="K28" s="9">
        <f t="shared" si="7"/>
        <v>39.619317132140488</v>
      </c>
      <c r="M28" s="18"/>
      <c r="S28" s="12"/>
      <c r="T28" s="12"/>
      <c r="U28" s="12"/>
      <c r="V28" s="12"/>
      <c r="W28" s="12"/>
    </row>
    <row r="29" spans="1:23" ht="53.25" customHeight="1">
      <c r="A29" s="34"/>
      <c r="B29" s="11" t="s">
        <v>84</v>
      </c>
      <c r="C29" s="1" t="s">
        <v>85</v>
      </c>
      <c r="D29" s="33"/>
      <c r="E29" s="28">
        <f>54771.24+139</f>
        <v>54910.239999999998</v>
      </c>
      <c r="F29" s="10"/>
      <c r="G29" s="9">
        <f t="shared" si="5"/>
        <v>54910.239999999998</v>
      </c>
      <c r="H29" s="10">
        <f>169.3+5880.7+83.3+1930.8+562.5+2460.6+1899.8+131.3+2084.9+380.2+1981.6+2017.3+1829.6-164.4+2408+47</f>
        <v>23702.499999999996</v>
      </c>
      <c r="I29" s="10"/>
      <c r="J29" s="9">
        <f t="shared" si="6"/>
        <v>23702.499999999996</v>
      </c>
      <c r="K29" s="9">
        <f t="shared" si="7"/>
        <v>43.165901296370215</v>
      </c>
      <c r="M29" s="18"/>
      <c r="S29" s="12"/>
      <c r="T29" s="12"/>
      <c r="U29" s="12"/>
      <c r="V29" s="12"/>
      <c r="W29" s="12"/>
    </row>
    <row r="30" spans="1:23" ht="53.25" customHeight="1">
      <c r="A30" s="34"/>
      <c r="B30" s="11" t="s">
        <v>86</v>
      </c>
      <c r="C30" s="1" t="s">
        <v>87</v>
      </c>
      <c r="D30" s="33"/>
      <c r="E30" s="28">
        <v>13038.492</v>
      </c>
      <c r="F30" s="10"/>
      <c r="G30" s="9">
        <f t="shared" si="5"/>
        <v>13038.492</v>
      </c>
      <c r="H30" s="10">
        <f>1+3.5+74.9+391.1+61.9+302.8+150+350+198.2+465.3+420+212+274.7+167.4+47.6+150+280.1+111+183.5+28.3</f>
        <v>3873.2999999999997</v>
      </c>
      <c r="I30" s="10"/>
      <c r="J30" s="9">
        <f t="shared" si="6"/>
        <v>3873.2999999999997</v>
      </c>
      <c r="K30" s="9">
        <f t="shared" si="7"/>
        <v>29.706656260555281</v>
      </c>
      <c r="M30" s="18"/>
      <c r="S30" s="12"/>
      <c r="T30" s="12"/>
      <c r="U30" s="12"/>
      <c r="V30" s="12"/>
      <c r="W30" s="12"/>
    </row>
    <row r="31" spans="1:23" ht="55.5" customHeight="1">
      <c r="A31" s="34"/>
      <c r="B31" s="11" t="s">
        <v>88</v>
      </c>
      <c r="C31" s="1" t="s">
        <v>89</v>
      </c>
      <c r="D31" s="33"/>
      <c r="E31" s="28">
        <f>9960.196+4064.3+3536.5+1932.6</f>
        <v>19493.595999999998</v>
      </c>
      <c r="F31" s="10"/>
      <c r="G31" s="9">
        <f t="shared" si="5"/>
        <v>19493.595999999998</v>
      </c>
      <c r="H31" s="10">
        <f>67+57+340.6+111.5+106.6+4076.8+132.5+624.6+2369.2+170.8+373.3+32.6+31.3+25.1+275+166.9+67.2+10+394+280.1</f>
        <v>9712.1</v>
      </c>
      <c r="I31" s="10"/>
      <c r="J31" s="9">
        <f t="shared" si="6"/>
        <v>9712.1</v>
      </c>
      <c r="K31" s="9">
        <f t="shared" si="7"/>
        <v>49.822003082448212</v>
      </c>
      <c r="M31" s="18"/>
      <c r="S31" s="12"/>
      <c r="T31" s="12"/>
      <c r="U31" s="12"/>
      <c r="V31" s="12"/>
      <c r="W31" s="12"/>
    </row>
    <row r="32" spans="1:23" ht="63.75" customHeight="1">
      <c r="A32" s="34"/>
      <c r="B32" s="11" t="s">
        <v>90</v>
      </c>
      <c r="C32" s="1" t="s">
        <v>91</v>
      </c>
      <c r="D32" s="33"/>
      <c r="E32" s="28">
        <f>48431.904+714.5-1800</f>
        <v>47346.404000000002</v>
      </c>
      <c r="F32" s="10">
        <v>1800</v>
      </c>
      <c r="G32" s="9">
        <f t="shared" si="5"/>
        <v>49146.404000000002</v>
      </c>
      <c r="H32" s="10">
        <f>244+1534.1+125+3741.1+2398.7+1828.2+152.2+256.2+1726.2+1650+133+1883.1+1735+300.4+1804.6+1868+252.1</f>
        <v>21631.9</v>
      </c>
      <c r="I32" s="10">
        <f>1799.8</f>
        <v>1799.8</v>
      </c>
      <c r="J32" s="9">
        <f t="shared" si="6"/>
        <v>23431.7</v>
      </c>
      <c r="K32" s="9">
        <f t="shared" si="7"/>
        <v>47.677343799151615</v>
      </c>
      <c r="M32" s="18"/>
      <c r="S32" s="12"/>
      <c r="T32" s="12"/>
      <c r="U32" s="12"/>
      <c r="V32" s="12"/>
      <c r="W32" s="12"/>
    </row>
    <row r="33" spans="1:23" ht="57.75" customHeight="1">
      <c r="A33" s="34"/>
      <c r="B33" s="11" t="s">
        <v>92</v>
      </c>
      <c r="C33" s="1" t="s">
        <v>93</v>
      </c>
      <c r="D33" s="33"/>
      <c r="E33" s="28">
        <f>81856.655+80.5+6210.5</f>
        <v>88147.654999999999</v>
      </c>
      <c r="F33" s="10">
        <f>199</f>
        <v>199</v>
      </c>
      <c r="G33" s="9">
        <f t="shared" si="5"/>
        <v>88346.654999999999</v>
      </c>
      <c r="H33" s="10">
        <f>1349+1944.2+1147.2+681.6+610+4546.5+1406.5+2825.1+3693.8+168.5+5150.3+2858.2+889.7+3652.7+566.7+4463.2+217.8+281.7+3724.3+391.8+3695.2+1036.6+173.3+2179.3+306.6</f>
        <v>47959.80000000001</v>
      </c>
      <c r="I33" s="10">
        <f>199</f>
        <v>199</v>
      </c>
      <c r="J33" s="9">
        <f t="shared" si="6"/>
        <v>48158.80000000001</v>
      </c>
      <c r="K33" s="9">
        <f t="shared" si="7"/>
        <v>54.511175324068596</v>
      </c>
      <c r="M33" s="18"/>
      <c r="S33" s="12"/>
      <c r="T33" s="12"/>
      <c r="U33" s="12"/>
      <c r="V33" s="12"/>
      <c r="W33" s="12"/>
    </row>
    <row r="34" spans="1:23" ht="54" customHeight="1">
      <c r="A34" s="34"/>
      <c r="B34" s="11" t="s">
        <v>52</v>
      </c>
      <c r="C34" s="1" t="s">
        <v>94</v>
      </c>
      <c r="D34" s="33"/>
      <c r="E34" s="28">
        <f>161977+21384.2+17214.6-44279.6</f>
        <v>156296.20000000001</v>
      </c>
      <c r="F34" s="10">
        <f>129900+36513.6-30000-4672.6+1227.3-900</f>
        <v>132068.29999999999</v>
      </c>
      <c r="G34" s="9">
        <f t="shared" si="5"/>
        <v>288364.5</v>
      </c>
      <c r="H34" s="10">
        <f>187.8+274.8+13.6+326.5+393.9+2456.3+1342.9+1547.7+169.4+2921.2+10.3+82.2+2221.4+2518.4+478.9+2414+2798.8+3084.8+1126.2+7357.8+4529.6+2251.8</f>
        <v>38508.299999999996</v>
      </c>
      <c r="I34" s="10">
        <f>751+6513.6+50+7095+995.1+1077.7+900+1087.3</f>
        <v>18469.7</v>
      </c>
      <c r="J34" s="9">
        <f t="shared" si="6"/>
        <v>56978</v>
      </c>
      <c r="K34" s="9">
        <f t="shared" si="7"/>
        <v>19.759020267751403</v>
      </c>
      <c r="M34" s="18"/>
      <c r="S34" s="12"/>
      <c r="T34" s="12"/>
      <c r="U34" s="12"/>
      <c r="V34" s="12"/>
      <c r="W34" s="12"/>
    </row>
    <row r="35" spans="1:23" ht="57.75" customHeight="1">
      <c r="A35" s="34"/>
      <c r="B35" s="11" t="s">
        <v>160</v>
      </c>
      <c r="C35" s="1" t="s">
        <v>53</v>
      </c>
      <c r="D35" s="33"/>
      <c r="E35" s="28">
        <v>970</v>
      </c>
      <c r="F35" s="10"/>
      <c r="G35" s="9">
        <f t="shared" si="5"/>
        <v>970</v>
      </c>
      <c r="H35" s="10">
        <f>215+108</f>
        <v>323</v>
      </c>
      <c r="I35" s="10"/>
      <c r="J35" s="9">
        <f t="shared" si="6"/>
        <v>323</v>
      </c>
      <c r="K35" s="9">
        <f t="shared" si="7"/>
        <v>33.298969072164944</v>
      </c>
      <c r="M35" s="18"/>
      <c r="S35" s="12"/>
      <c r="T35" s="12"/>
      <c r="U35" s="12"/>
      <c r="V35" s="12"/>
      <c r="W35" s="12"/>
    </row>
    <row r="36" spans="1:23" ht="57.75" customHeight="1">
      <c r="A36" s="1"/>
      <c r="B36" s="11" t="s">
        <v>203</v>
      </c>
      <c r="C36" s="1" t="s">
        <v>63</v>
      </c>
      <c r="D36" s="32"/>
      <c r="E36" s="28">
        <v>1200</v>
      </c>
      <c r="F36" s="10">
        <v>1800</v>
      </c>
      <c r="G36" s="9">
        <f t="shared" si="5"/>
        <v>3000</v>
      </c>
      <c r="H36" s="10">
        <v>1200</v>
      </c>
      <c r="I36" s="10">
        <v>1800</v>
      </c>
      <c r="J36" s="9">
        <f t="shared" si="6"/>
        <v>3000</v>
      </c>
      <c r="K36" s="9">
        <f t="shared" si="7"/>
        <v>100</v>
      </c>
      <c r="M36" s="18"/>
      <c r="S36" s="12"/>
      <c r="T36" s="12"/>
      <c r="U36" s="12"/>
      <c r="V36" s="12"/>
      <c r="W36" s="12"/>
    </row>
    <row r="37" spans="1:23" ht="57.75" customHeight="1">
      <c r="A37" s="1"/>
      <c r="B37" s="11" t="s">
        <v>128</v>
      </c>
      <c r="C37" s="1" t="s">
        <v>207</v>
      </c>
      <c r="D37" s="30" t="s">
        <v>146</v>
      </c>
      <c r="E37" s="28">
        <f>30.6</f>
        <v>30.6</v>
      </c>
      <c r="F37" s="10"/>
      <c r="G37" s="9">
        <f t="shared" si="5"/>
        <v>30.6</v>
      </c>
      <c r="H37" s="10"/>
      <c r="I37" s="10"/>
      <c r="J37" s="9">
        <f t="shared" si="6"/>
        <v>0</v>
      </c>
      <c r="K37" s="9">
        <f t="shared" si="7"/>
        <v>0</v>
      </c>
      <c r="M37" s="18"/>
      <c r="S37" s="12"/>
      <c r="T37" s="12"/>
      <c r="U37" s="12"/>
      <c r="V37" s="12"/>
      <c r="W37" s="12"/>
    </row>
    <row r="38" spans="1:23" ht="93.75" customHeight="1">
      <c r="A38" s="34">
        <v>6</v>
      </c>
      <c r="B38" s="11"/>
      <c r="C38" s="21" t="s">
        <v>95</v>
      </c>
      <c r="D38" s="15" t="s">
        <v>11</v>
      </c>
      <c r="E38" s="9">
        <f>SUM(E39:E42)</f>
        <v>64320.4</v>
      </c>
      <c r="F38" s="9">
        <f>SUM(F39:F42)</f>
        <v>0</v>
      </c>
      <c r="G38" s="9">
        <f>E38+F38</f>
        <v>64320.4</v>
      </c>
      <c r="H38" s="9">
        <f>SUM(H39:H42)</f>
        <v>17358.2</v>
      </c>
      <c r="I38" s="9">
        <f>SUM(I39:I42)</f>
        <v>0</v>
      </c>
      <c r="J38" s="9">
        <f t="shared" ref="J38:J46" si="8">H38+I38</f>
        <v>17358.2</v>
      </c>
      <c r="K38" s="9">
        <f t="shared" ref="K38:K53" si="9">J38/G38*100</f>
        <v>26.987083413660361</v>
      </c>
      <c r="M38" s="18"/>
      <c r="S38" s="12"/>
      <c r="T38" s="12"/>
      <c r="U38" s="12"/>
      <c r="V38" s="12"/>
      <c r="W38" s="12"/>
    </row>
    <row r="39" spans="1:23" ht="92.25" customHeight="1">
      <c r="A39" s="34"/>
      <c r="B39" s="11" t="s">
        <v>163</v>
      </c>
      <c r="C39" s="1" t="s">
        <v>164</v>
      </c>
      <c r="D39" s="34" t="s">
        <v>1</v>
      </c>
      <c r="E39" s="10">
        <v>15515</v>
      </c>
      <c r="F39" s="9"/>
      <c r="G39" s="9">
        <f t="shared" ref="G39:G47" si="10">E39+F39</f>
        <v>15515</v>
      </c>
      <c r="H39" s="10">
        <v>7197.3</v>
      </c>
      <c r="I39" s="9"/>
      <c r="J39" s="9">
        <f t="shared" si="8"/>
        <v>7197.3</v>
      </c>
      <c r="K39" s="9">
        <f t="shared" si="9"/>
        <v>46.389300676764421</v>
      </c>
      <c r="M39" s="18"/>
      <c r="S39" s="12"/>
      <c r="T39" s="12"/>
      <c r="U39" s="12"/>
      <c r="V39" s="12"/>
      <c r="W39" s="12"/>
    </row>
    <row r="40" spans="1:23" ht="66.75" customHeight="1">
      <c r="A40" s="34"/>
      <c r="B40" s="11" t="s">
        <v>37</v>
      </c>
      <c r="C40" s="1" t="s">
        <v>28</v>
      </c>
      <c r="D40" s="34"/>
      <c r="E40" s="10">
        <v>500</v>
      </c>
      <c r="F40" s="10"/>
      <c r="G40" s="9">
        <f t="shared" si="10"/>
        <v>500</v>
      </c>
      <c r="H40" s="10"/>
      <c r="I40" s="10"/>
      <c r="J40" s="9">
        <f t="shared" si="8"/>
        <v>0</v>
      </c>
      <c r="K40" s="9">
        <f t="shared" si="9"/>
        <v>0</v>
      </c>
      <c r="M40" s="18"/>
      <c r="S40" s="12"/>
      <c r="T40" s="12"/>
      <c r="U40" s="12"/>
      <c r="V40" s="12"/>
      <c r="W40" s="12"/>
    </row>
    <row r="41" spans="1:23" ht="59.25" customHeight="1">
      <c r="A41" s="34"/>
      <c r="B41" s="11" t="s">
        <v>39</v>
      </c>
      <c r="C41" s="1" t="s">
        <v>29</v>
      </c>
      <c r="D41" s="34"/>
      <c r="E41" s="10">
        <v>45305.4</v>
      </c>
      <c r="F41" s="10"/>
      <c r="G41" s="9">
        <f t="shared" si="10"/>
        <v>45305.4</v>
      </c>
      <c r="H41" s="10">
        <f>51+201+102.6+1200.4+914.3+5.4+2408.8+455+153.5+2275.9+1906.5+486.5</f>
        <v>10160.9</v>
      </c>
      <c r="I41" s="10"/>
      <c r="J41" s="9">
        <f t="shared" si="8"/>
        <v>10160.9</v>
      </c>
      <c r="K41" s="9">
        <f t="shared" si="9"/>
        <v>22.427569340520112</v>
      </c>
      <c r="M41" s="18"/>
      <c r="S41" s="12"/>
      <c r="T41" s="12"/>
      <c r="U41" s="12"/>
      <c r="V41" s="12"/>
      <c r="W41" s="12"/>
    </row>
    <row r="42" spans="1:23" ht="56.25" customHeight="1">
      <c r="A42" s="34"/>
      <c r="B42" s="11" t="s">
        <v>38</v>
      </c>
      <c r="C42" s="1" t="s">
        <v>30</v>
      </c>
      <c r="D42" s="34"/>
      <c r="E42" s="10">
        <v>3000</v>
      </c>
      <c r="F42" s="10"/>
      <c r="G42" s="9">
        <f t="shared" si="10"/>
        <v>3000</v>
      </c>
      <c r="H42" s="10"/>
      <c r="I42" s="10"/>
      <c r="J42" s="9">
        <f t="shared" si="8"/>
        <v>0</v>
      </c>
      <c r="K42" s="9">
        <f t="shared" si="9"/>
        <v>0</v>
      </c>
      <c r="M42" s="18"/>
      <c r="S42" s="12"/>
      <c r="T42" s="12"/>
      <c r="U42" s="12"/>
      <c r="V42" s="12"/>
      <c r="W42" s="12"/>
    </row>
    <row r="43" spans="1:23" ht="118.5" customHeight="1">
      <c r="A43" s="34">
        <v>7</v>
      </c>
      <c r="B43" s="11"/>
      <c r="C43" s="21" t="s">
        <v>165</v>
      </c>
      <c r="D43" s="15" t="s">
        <v>11</v>
      </c>
      <c r="E43" s="9">
        <f>SUM(E44:E47)</f>
        <v>60511.06</v>
      </c>
      <c r="F43" s="9">
        <f>SUM(F44:F47)</f>
        <v>4000</v>
      </c>
      <c r="G43" s="9">
        <f t="shared" si="10"/>
        <v>64511.06</v>
      </c>
      <c r="H43" s="9">
        <f>SUM(H44:H47)</f>
        <v>29294.46</v>
      </c>
      <c r="I43" s="9">
        <f>SUM(I44:I47)</f>
        <v>0</v>
      </c>
      <c r="J43" s="9">
        <f t="shared" si="8"/>
        <v>29294.46</v>
      </c>
      <c r="K43" s="9">
        <f t="shared" si="9"/>
        <v>45.409980862196342</v>
      </c>
      <c r="M43" s="18"/>
      <c r="S43" s="12"/>
      <c r="T43" s="12"/>
      <c r="U43" s="12"/>
      <c r="V43" s="12"/>
      <c r="W43" s="12"/>
    </row>
    <row r="44" spans="1:23" ht="63" customHeight="1">
      <c r="A44" s="34"/>
      <c r="B44" s="11" t="s">
        <v>39</v>
      </c>
      <c r="C44" s="1" t="s">
        <v>29</v>
      </c>
      <c r="D44" s="31" t="s">
        <v>1</v>
      </c>
      <c r="E44" s="10">
        <v>55224.06</v>
      </c>
      <c r="F44" s="10"/>
      <c r="G44" s="9">
        <f t="shared" si="10"/>
        <v>55224.06</v>
      </c>
      <c r="H44" s="10">
        <f>4346.5+1114.5+490.6+835.8+314.5+744+9233.4+302.5+2722.4+5003.5+722.3+270.4+1170+579.6</f>
        <v>27850</v>
      </c>
      <c r="I44" s="10"/>
      <c r="J44" s="9">
        <f t="shared" si="8"/>
        <v>27850</v>
      </c>
      <c r="K44" s="9">
        <f t="shared" si="9"/>
        <v>50.430917248749921</v>
      </c>
      <c r="M44" s="18"/>
      <c r="S44" s="12"/>
      <c r="T44" s="12"/>
      <c r="U44" s="12"/>
      <c r="V44" s="12"/>
      <c r="W44" s="12"/>
    </row>
    <row r="45" spans="1:23" ht="55.5" customHeight="1">
      <c r="A45" s="34"/>
      <c r="B45" s="11" t="s">
        <v>38</v>
      </c>
      <c r="C45" s="1" t="s">
        <v>53</v>
      </c>
      <c r="D45" s="33"/>
      <c r="E45" s="10">
        <v>287</v>
      </c>
      <c r="F45" s="10"/>
      <c r="G45" s="9">
        <f t="shared" si="10"/>
        <v>287</v>
      </c>
      <c r="H45" s="10">
        <f>2+1.4+16.5+8.5+36.1+3.2+2.4+9.04+4.2+1.5+5.62+0.6+0.4</f>
        <v>91.460000000000022</v>
      </c>
      <c r="I45" s="10"/>
      <c r="J45" s="9">
        <f t="shared" si="8"/>
        <v>91.460000000000022</v>
      </c>
      <c r="K45" s="9">
        <f t="shared" si="9"/>
        <v>31.867595818815335</v>
      </c>
      <c r="M45" s="18"/>
      <c r="S45" s="12"/>
      <c r="T45" s="12"/>
      <c r="U45" s="12"/>
      <c r="V45" s="12"/>
      <c r="W45" s="12"/>
    </row>
    <row r="46" spans="1:23" ht="55.5" customHeight="1">
      <c r="A46" s="34"/>
      <c r="B46" s="11" t="s">
        <v>38</v>
      </c>
      <c r="C46" s="1" t="s">
        <v>209</v>
      </c>
      <c r="D46" s="32"/>
      <c r="E46" s="10">
        <v>5000</v>
      </c>
      <c r="F46" s="10"/>
      <c r="G46" s="9">
        <f t="shared" si="10"/>
        <v>5000</v>
      </c>
      <c r="H46" s="10">
        <f>438.4+914.6</f>
        <v>1353</v>
      </c>
      <c r="I46" s="10"/>
      <c r="J46" s="9">
        <f t="shared" si="8"/>
        <v>1353</v>
      </c>
      <c r="K46" s="9">
        <f t="shared" si="9"/>
        <v>27.060000000000002</v>
      </c>
      <c r="M46" s="18"/>
      <c r="S46" s="12"/>
      <c r="T46" s="12"/>
      <c r="U46" s="12"/>
      <c r="V46" s="12"/>
      <c r="W46" s="12"/>
    </row>
    <row r="47" spans="1:23" ht="57.75" customHeight="1">
      <c r="A47" s="34"/>
      <c r="B47" s="11" t="s">
        <v>143</v>
      </c>
      <c r="C47" s="1" t="s">
        <v>144</v>
      </c>
      <c r="D47" s="1" t="s">
        <v>146</v>
      </c>
      <c r="E47" s="10"/>
      <c r="F47" s="10">
        <v>4000</v>
      </c>
      <c r="G47" s="9">
        <f t="shared" si="10"/>
        <v>4000</v>
      </c>
      <c r="H47" s="10"/>
      <c r="I47" s="10"/>
      <c r="J47" s="9">
        <f>H47+I47</f>
        <v>0</v>
      </c>
      <c r="K47" s="9">
        <f t="shared" si="9"/>
        <v>0</v>
      </c>
      <c r="M47" s="18"/>
      <c r="S47" s="12"/>
      <c r="T47" s="12"/>
      <c r="U47" s="12"/>
      <c r="V47" s="12"/>
      <c r="W47" s="12"/>
    </row>
    <row r="48" spans="1:23" ht="126.75" customHeight="1">
      <c r="A48" s="34">
        <v>8</v>
      </c>
      <c r="B48" s="11"/>
      <c r="C48" s="21" t="s">
        <v>96</v>
      </c>
      <c r="D48" s="15" t="s">
        <v>11</v>
      </c>
      <c r="E48" s="9">
        <f>SUM(E49)</f>
        <v>0</v>
      </c>
      <c r="F48" s="9">
        <f>SUM(F49)</f>
        <v>9000</v>
      </c>
      <c r="G48" s="9">
        <f>SUM(E48+F48)</f>
        <v>9000</v>
      </c>
      <c r="H48" s="9">
        <f>SUM(H49)</f>
        <v>2093.5</v>
      </c>
      <c r="I48" s="9">
        <f>SUM(I49)</f>
        <v>0</v>
      </c>
      <c r="J48" s="9">
        <f>SUM(H48+I48)</f>
        <v>2093.5</v>
      </c>
      <c r="K48" s="9">
        <f t="shared" si="9"/>
        <v>23.261111111111109</v>
      </c>
      <c r="M48" s="18"/>
      <c r="S48" s="12"/>
      <c r="T48" s="12"/>
      <c r="U48" s="12"/>
      <c r="V48" s="12"/>
      <c r="W48" s="12"/>
    </row>
    <row r="49" spans="1:23" ht="57.75" customHeight="1">
      <c r="A49" s="34"/>
      <c r="B49" s="11" t="s">
        <v>54</v>
      </c>
      <c r="C49" s="1" t="s">
        <v>30</v>
      </c>
      <c r="D49" s="1" t="s">
        <v>10</v>
      </c>
      <c r="E49" s="10"/>
      <c r="F49" s="10">
        <v>9000</v>
      </c>
      <c r="G49" s="9">
        <f>SUM(E49+F49)</f>
        <v>9000</v>
      </c>
      <c r="H49" s="10">
        <v>2093.5</v>
      </c>
      <c r="I49" s="10"/>
      <c r="J49" s="9">
        <f>SUM(H49+I49)</f>
        <v>2093.5</v>
      </c>
      <c r="K49" s="9">
        <f t="shared" si="9"/>
        <v>23.261111111111109</v>
      </c>
      <c r="M49" s="18"/>
      <c r="S49" s="12"/>
      <c r="T49" s="12"/>
      <c r="U49" s="12"/>
      <c r="V49" s="12"/>
      <c r="W49" s="12"/>
    </row>
    <row r="50" spans="1:23" ht="78.75" customHeight="1">
      <c r="A50" s="34">
        <v>9</v>
      </c>
      <c r="B50" s="11"/>
      <c r="C50" s="21" t="s">
        <v>97</v>
      </c>
      <c r="D50" s="15" t="s">
        <v>11</v>
      </c>
      <c r="E50" s="9">
        <f>SUM(E51:E52)</f>
        <v>10106.1</v>
      </c>
      <c r="F50" s="9">
        <f>SUM(F51:F52)</f>
        <v>4878.8999999999996</v>
      </c>
      <c r="G50" s="9">
        <f>E50+F50</f>
        <v>14985</v>
      </c>
      <c r="H50" s="9">
        <f>SUM(H51:H52)</f>
        <v>2308.7999999999997</v>
      </c>
      <c r="I50" s="9">
        <f>SUM(I51:I52)</f>
        <v>2988.9</v>
      </c>
      <c r="J50" s="9">
        <f>H50+I50</f>
        <v>5297.7</v>
      </c>
      <c r="K50" s="9">
        <f t="shared" si="9"/>
        <v>35.353353353353349</v>
      </c>
      <c r="M50" s="18"/>
      <c r="S50" s="12"/>
      <c r="T50" s="12"/>
      <c r="U50" s="12"/>
      <c r="V50" s="12"/>
      <c r="W50" s="12"/>
    </row>
    <row r="51" spans="1:23" ht="69" customHeight="1">
      <c r="A51" s="34"/>
      <c r="B51" s="11" t="s">
        <v>40</v>
      </c>
      <c r="C51" s="1" t="s">
        <v>46</v>
      </c>
      <c r="D51" s="31" t="s">
        <v>16</v>
      </c>
      <c r="E51" s="10">
        <f>10000+285-365+365-178.9</f>
        <v>10106.1</v>
      </c>
      <c r="F51" s="10">
        <f>4700-2400+178.9</f>
        <v>2478.9</v>
      </c>
      <c r="G51" s="9">
        <f>E51+F51</f>
        <v>12585</v>
      </c>
      <c r="H51" s="10">
        <f>830.9+72+14+98.8+50+176.3+525+83+50+288.8+120</f>
        <v>2308.7999999999997</v>
      </c>
      <c r="I51" s="10">
        <v>588.9</v>
      </c>
      <c r="J51" s="9">
        <f>H51+I51</f>
        <v>2897.7</v>
      </c>
      <c r="K51" s="9">
        <f t="shared" si="9"/>
        <v>23.02502979737783</v>
      </c>
      <c r="M51" s="18"/>
      <c r="S51" s="12"/>
      <c r="T51" s="12"/>
      <c r="U51" s="12"/>
      <c r="V51" s="12"/>
      <c r="W51" s="12"/>
    </row>
    <row r="52" spans="1:23" ht="59.25" customHeight="1">
      <c r="A52" s="34"/>
      <c r="B52" s="11" t="s">
        <v>204</v>
      </c>
      <c r="C52" s="1" t="s">
        <v>53</v>
      </c>
      <c r="D52" s="32"/>
      <c r="E52" s="10">
        <f>365-365</f>
        <v>0</v>
      </c>
      <c r="F52" s="10">
        <f>2400</f>
        <v>2400</v>
      </c>
      <c r="G52" s="9">
        <f>E52+F52</f>
        <v>2400</v>
      </c>
      <c r="H52" s="10"/>
      <c r="I52" s="10">
        <v>2400</v>
      </c>
      <c r="J52" s="9">
        <f>H52+I52</f>
        <v>2400</v>
      </c>
      <c r="K52" s="9">
        <f t="shared" si="9"/>
        <v>100</v>
      </c>
      <c r="M52" s="18"/>
      <c r="S52" s="12"/>
      <c r="T52" s="12"/>
      <c r="U52" s="12"/>
      <c r="V52" s="12"/>
      <c r="W52" s="12"/>
    </row>
    <row r="53" spans="1:23" ht="74.25" customHeight="1">
      <c r="A53" s="34">
        <v>10</v>
      </c>
      <c r="B53" s="11"/>
      <c r="C53" s="21" t="s">
        <v>189</v>
      </c>
      <c r="D53" s="15" t="s">
        <v>11</v>
      </c>
      <c r="E53" s="9">
        <f>SUM(E54:E65)</f>
        <v>21489.5</v>
      </c>
      <c r="F53" s="9">
        <f>SUM(F54:F65)</f>
        <v>44500</v>
      </c>
      <c r="G53" s="9">
        <f>E53+F53</f>
        <v>65989.5</v>
      </c>
      <c r="H53" s="9">
        <f>SUM(H54:H65)</f>
        <v>3245.5999999999995</v>
      </c>
      <c r="I53" s="9">
        <f>SUM(I54:I65)</f>
        <v>0</v>
      </c>
      <c r="J53" s="9">
        <f>H53+I53</f>
        <v>3245.5999999999995</v>
      </c>
      <c r="K53" s="9">
        <f t="shared" si="9"/>
        <v>4.9183582236567931</v>
      </c>
      <c r="M53" s="18"/>
      <c r="S53" s="12"/>
      <c r="T53" s="12"/>
      <c r="U53" s="12"/>
      <c r="V53" s="12"/>
      <c r="W53" s="12"/>
    </row>
    <row r="54" spans="1:23" ht="60" customHeight="1">
      <c r="A54" s="34"/>
      <c r="B54" s="11" t="s">
        <v>98</v>
      </c>
      <c r="C54" s="1" t="s">
        <v>99</v>
      </c>
      <c r="D54" s="34" t="s">
        <v>100</v>
      </c>
      <c r="E54" s="10">
        <f>4200-2000</f>
        <v>2200</v>
      </c>
      <c r="F54" s="10">
        <v>1500</v>
      </c>
      <c r="G54" s="9">
        <f>E54+F54</f>
        <v>3700</v>
      </c>
      <c r="H54" s="10">
        <f>193.5+21+51.3</f>
        <v>265.8</v>
      </c>
      <c r="I54" s="10"/>
      <c r="J54" s="9">
        <f t="shared" ref="J54:J65" si="11">H54+I54</f>
        <v>265.8</v>
      </c>
      <c r="K54" s="9">
        <f t="shared" ref="K54:K65" si="12">J54/G54*100</f>
        <v>7.1837837837837846</v>
      </c>
      <c r="M54" s="18"/>
      <c r="S54" s="12"/>
      <c r="T54" s="12"/>
      <c r="U54" s="12"/>
      <c r="V54" s="12"/>
      <c r="W54" s="12"/>
    </row>
    <row r="55" spans="1:23" ht="62.25" customHeight="1">
      <c r="A55" s="34"/>
      <c r="B55" s="11" t="s">
        <v>101</v>
      </c>
      <c r="C55" s="1" t="s">
        <v>102</v>
      </c>
      <c r="D55" s="34"/>
      <c r="E55" s="10">
        <f>3100-728.9</f>
        <v>2371.1</v>
      </c>
      <c r="F55" s="10">
        <v>1000</v>
      </c>
      <c r="G55" s="9">
        <f t="shared" ref="G55:G65" si="13">E55+F55</f>
        <v>3371.1</v>
      </c>
      <c r="H55" s="10">
        <f>17.4+63.7+99.5+25.9</f>
        <v>206.5</v>
      </c>
      <c r="I55" s="10"/>
      <c r="J55" s="9">
        <f t="shared" si="11"/>
        <v>206.5</v>
      </c>
      <c r="K55" s="9">
        <f t="shared" si="12"/>
        <v>6.125596986146955</v>
      </c>
      <c r="M55" s="18"/>
      <c r="S55" s="12"/>
      <c r="T55" s="12"/>
      <c r="U55" s="12"/>
      <c r="V55" s="12"/>
      <c r="W55" s="12"/>
    </row>
    <row r="56" spans="1:23" ht="52.5" customHeight="1">
      <c r="A56" s="34"/>
      <c r="B56" s="11" t="s">
        <v>103</v>
      </c>
      <c r="C56" s="1" t="s">
        <v>104</v>
      </c>
      <c r="D56" s="34"/>
      <c r="E56" s="10">
        <f>266.2+81.78</f>
        <v>347.98</v>
      </c>
      <c r="F56" s="10"/>
      <c r="G56" s="9">
        <f t="shared" si="13"/>
        <v>347.98</v>
      </c>
      <c r="H56" s="10">
        <f>5+27.5+4.2+27.3+35+14.8</f>
        <v>113.8</v>
      </c>
      <c r="I56" s="10"/>
      <c r="J56" s="9">
        <f t="shared" si="11"/>
        <v>113.8</v>
      </c>
      <c r="K56" s="9">
        <f t="shared" si="12"/>
        <v>32.703028909707456</v>
      </c>
      <c r="M56" s="18"/>
      <c r="S56" s="12"/>
      <c r="T56" s="12"/>
      <c r="U56" s="12"/>
      <c r="V56" s="12"/>
      <c r="W56" s="12"/>
    </row>
    <row r="57" spans="1:23" ht="91.5" customHeight="1">
      <c r="A57" s="34"/>
      <c r="B57" s="11" t="s">
        <v>41</v>
      </c>
      <c r="C57" s="1" t="s">
        <v>105</v>
      </c>
      <c r="D57" s="34"/>
      <c r="E57" s="10">
        <v>474</v>
      </c>
      <c r="F57" s="10"/>
      <c r="G57" s="9">
        <f t="shared" si="13"/>
        <v>474</v>
      </c>
      <c r="H57" s="10">
        <f>22.2+21.8+6+3.2+4.7+5.9+21.7+15+17.4+7.4+26+2.1</f>
        <v>153.4</v>
      </c>
      <c r="I57" s="10"/>
      <c r="J57" s="9">
        <f t="shared" si="11"/>
        <v>153.4</v>
      </c>
      <c r="K57" s="9">
        <f>J57/G57*100</f>
        <v>32.362869198312239</v>
      </c>
      <c r="M57" s="18"/>
      <c r="S57" s="12"/>
      <c r="T57" s="12"/>
      <c r="U57" s="12"/>
      <c r="V57" s="12"/>
      <c r="W57" s="12"/>
    </row>
    <row r="58" spans="1:23" ht="61.5" customHeight="1">
      <c r="A58" s="34"/>
      <c r="B58" s="11" t="s">
        <v>106</v>
      </c>
      <c r="C58" s="1" t="s">
        <v>107</v>
      </c>
      <c r="D58" s="34"/>
      <c r="E58" s="10">
        <v>649.29999999999995</v>
      </c>
      <c r="F58" s="10"/>
      <c r="G58" s="9">
        <f t="shared" si="13"/>
        <v>649.29999999999995</v>
      </c>
      <c r="H58" s="10">
        <f>5.8+2.8+50.8+18.6+7.9+26.9+22+3</f>
        <v>137.80000000000001</v>
      </c>
      <c r="I58" s="10"/>
      <c r="J58" s="9">
        <f t="shared" si="11"/>
        <v>137.80000000000001</v>
      </c>
      <c r="K58" s="9">
        <f t="shared" si="12"/>
        <v>21.222855382719853</v>
      </c>
      <c r="M58" s="18"/>
      <c r="S58" s="12"/>
      <c r="T58" s="12"/>
      <c r="U58" s="12"/>
      <c r="V58" s="12"/>
      <c r="W58" s="12"/>
    </row>
    <row r="59" spans="1:23" ht="60" customHeight="1">
      <c r="A59" s="34"/>
      <c r="B59" s="11" t="s">
        <v>190</v>
      </c>
      <c r="C59" s="1" t="s">
        <v>193</v>
      </c>
      <c r="D59" s="34"/>
      <c r="E59" s="10">
        <f>856.7</f>
        <v>856.7</v>
      </c>
      <c r="F59" s="10"/>
      <c r="G59" s="9">
        <f t="shared" si="13"/>
        <v>856.7</v>
      </c>
      <c r="H59" s="10">
        <f>87+194.3</f>
        <v>281.3</v>
      </c>
      <c r="I59" s="10"/>
      <c r="J59" s="9">
        <f t="shared" si="11"/>
        <v>281.3</v>
      </c>
      <c r="K59" s="9">
        <f t="shared" si="12"/>
        <v>32.83529823742267</v>
      </c>
      <c r="M59" s="18"/>
      <c r="S59" s="12"/>
      <c r="T59" s="12"/>
      <c r="U59" s="12"/>
      <c r="V59" s="12"/>
      <c r="W59" s="12"/>
    </row>
    <row r="60" spans="1:23" ht="57.75" customHeight="1">
      <c r="A60" s="34"/>
      <c r="B60" s="11" t="s">
        <v>191</v>
      </c>
      <c r="C60" s="1" t="s">
        <v>194</v>
      </c>
      <c r="D60" s="34"/>
      <c r="E60" s="10">
        <f>1689.5</f>
        <v>1689.5</v>
      </c>
      <c r="F60" s="10"/>
      <c r="G60" s="9">
        <f t="shared" si="13"/>
        <v>1689.5</v>
      </c>
      <c r="H60" s="10">
        <f>946.6</f>
        <v>946.6</v>
      </c>
      <c r="I60" s="10"/>
      <c r="J60" s="9">
        <f t="shared" si="11"/>
        <v>946.6</v>
      </c>
      <c r="K60" s="9">
        <f t="shared" si="12"/>
        <v>56.028410772417878</v>
      </c>
      <c r="M60" s="18"/>
      <c r="S60" s="12"/>
      <c r="T60" s="12"/>
      <c r="U60" s="12"/>
      <c r="V60" s="12"/>
      <c r="W60" s="12"/>
    </row>
    <row r="61" spans="1:23" ht="50.25" customHeight="1">
      <c r="A61" s="34"/>
      <c r="B61" s="11" t="s">
        <v>192</v>
      </c>
      <c r="C61" s="1" t="s">
        <v>195</v>
      </c>
      <c r="D61" s="34"/>
      <c r="E61" s="10">
        <f>81.2</f>
        <v>81.2</v>
      </c>
      <c r="F61" s="10"/>
      <c r="G61" s="9">
        <f t="shared" si="13"/>
        <v>81.2</v>
      </c>
      <c r="H61" s="10">
        <f>40.6+40.6</f>
        <v>81.2</v>
      </c>
      <c r="I61" s="10"/>
      <c r="J61" s="9">
        <f t="shared" si="11"/>
        <v>81.2</v>
      </c>
      <c r="K61" s="9">
        <f t="shared" si="12"/>
        <v>100</v>
      </c>
      <c r="M61" s="18"/>
      <c r="S61" s="12"/>
      <c r="T61" s="12"/>
      <c r="U61" s="12"/>
      <c r="V61" s="12"/>
      <c r="W61" s="12"/>
    </row>
    <row r="62" spans="1:23" ht="58.5" customHeight="1">
      <c r="A62" s="34"/>
      <c r="B62" s="11" t="s">
        <v>205</v>
      </c>
      <c r="C62" s="1" t="s">
        <v>63</v>
      </c>
      <c r="D62" s="34"/>
      <c r="E62" s="10">
        <v>3000</v>
      </c>
      <c r="F62" s="10"/>
      <c r="G62" s="9">
        <f t="shared" si="13"/>
        <v>3000</v>
      </c>
      <c r="H62" s="10"/>
      <c r="I62" s="10"/>
      <c r="J62" s="9">
        <f t="shared" si="11"/>
        <v>0</v>
      </c>
      <c r="K62" s="9">
        <f t="shared" si="12"/>
        <v>0</v>
      </c>
      <c r="M62" s="18"/>
      <c r="S62" s="12"/>
      <c r="T62" s="12"/>
      <c r="U62" s="12"/>
      <c r="V62" s="12"/>
      <c r="W62" s="12"/>
    </row>
    <row r="63" spans="1:23" ht="56.25" customHeight="1">
      <c r="A63" s="34"/>
      <c r="B63" s="11" t="s">
        <v>199</v>
      </c>
      <c r="C63" s="25" t="s">
        <v>30</v>
      </c>
      <c r="D63" s="34"/>
      <c r="E63" s="10"/>
      <c r="F63" s="10">
        <f>3000+27000+11100</f>
        <v>41100</v>
      </c>
      <c r="G63" s="9">
        <f t="shared" si="13"/>
        <v>41100</v>
      </c>
      <c r="H63" s="10"/>
      <c r="I63" s="10"/>
      <c r="J63" s="9">
        <f t="shared" si="11"/>
        <v>0</v>
      </c>
      <c r="K63" s="9">
        <f t="shared" si="12"/>
        <v>0</v>
      </c>
      <c r="M63" s="18"/>
      <c r="S63" s="12"/>
      <c r="T63" s="12"/>
      <c r="U63" s="12"/>
      <c r="V63" s="12"/>
      <c r="W63" s="12"/>
    </row>
    <row r="64" spans="1:23" ht="54" customHeight="1">
      <c r="A64" s="34"/>
      <c r="B64" s="11" t="s">
        <v>42</v>
      </c>
      <c r="C64" s="1" t="s">
        <v>31</v>
      </c>
      <c r="D64" s="34"/>
      <c r="E64" s="10">
        <f>9800+19.72</f>
        <v>9819.7199999999993</v>
      </c>
      <c r="F64" s="10"/>
      <c r="G64" s="9">
        <f t="shared" si="13"/>
        <v>9819.7199999999993</v>
      </c>
      <c r="H64" s="10">
        <f>12.8-12.8+12.8+7+726.7+312.7</f>
        <v>1059.2</v>
      </c>
      <c r="I64" s="10"/>
      <c r="J64" s="9">
        <f t="shared" si="11"/>
        <v>1059.2</v>
      </c>
      <c r="K64" s="9">
        <f t="shared" si="12"/>
        <v>10.786458269685898</v>
      </c>
      <c r="M64" s="18"/>
      <c r="S64" s="12"/>
      <c r="T64" s="12"/>
      <c r="U64" s="12"/>
      <c r="V64" s="12"/>
      <c r="W64" s="12"/>
    </row>
    <row r="65" spans="1:23" ht="54" customHeight="1">
      <c r="A65" s="1"/>
      <c r="B65" s="11" t="s">
        <v>52</v>
      </c>
      <c r="C65" s="1" t="s">
        <v>94</v>
      </c>
      <c r="D65" s="1" t="s">
        <v>9</v>
      </c>
      <c r="E65" s="10"/>
      <c r="F65" s="10">
        <f>900</f>
        <v>900</v>
      </c>
      <c r="G65" s="9">
        <f t="shared" si="13"/>
        <v>900</v>
      </c>
      <c r="H65" s="10"/>
      <c r="I65" s="10"/>
      <c r="J65" s="9">
        <f t="shared" si="11"/>
        <v>0</v>
      </c>
      <c r="K65" s="9">
        <f t="shared" si="12"/>
        <v>0</v>
      </c>
      <c r="M65" s="18"/>
      <c r="S65" s="12"/>
      <c r="T65" s="12"/>
      <c r="U65" s="12"/>
      <c r="V65" s="12"/>
      <c r="W65" s="12"/>
    </row>
    <row r="66" spans="1:23" ht="84" customHeight="1">
      <c r="A66" s="34">
        <v>11</v>
      </c>
      <c r="B66" s="1"/>
      <c r="C66" s="21" t="s">
        <v>108</v>
      </c>
      <c r="D66" s="15" t="s">
        <v>11</v>
      </c>
      <c r="E66" s="9">
        <f>SUM(E67)</f>
        <v>2328.8000000000002</v>
      </c>
      <c r="F66" s="9">
        <f>SUM(F67)</f>
        <v>0</v>
      </c>
      <c r="G66" s="9">
        <f>E66+F66</f>
        <v>2328.8000000000002</v>
      </c>
      <c r="H66" s="9">
        <f>SUM(H67)</f>
        <v>821.1</v>
      </c>
      <c r="I66" s="9">
        <f>SUM(I67)</f>
        <v>0</v>
      </c>
      <c r="J66" s="9">
        <f t="shared" ref="J66:J86" si="14">H66+I66</f>
        <v>821.1</v>
      </c>
      <c r="K66" s="9">
        <f t="shared" ref="K66:K75" si="15">J66/G66*100</f>
        <v>35.258502232909649</v>
      </c>
      <c r="M66" s="18"/>
      <c r="S66" s="12"/>
      <c r="T66" s="12"/>
      <c r="U66" s="12"/>
      <c r="V66" s="12"/>
      <c r="W66" s="12"/>
    </row>
    <row r="67" spans="1:23" ht="61.5" customHeight="1">
      <c r="A67" s="34"/>
      <c r="B67" s="11" t="s">
        <v>109</v>
      </c>
      <c r="C67" s="1" t="s">
        <v>110</v>
      </c>
      <c r="D67" s="1" t="s">
        <v>100</v>
      </c>
      <c r="E67" s="10">
        <v>2328.8000000000002</v>
      </c>
      <c r="F67" s="10"/>
      <c r="G67" s="9">
        <f t="shared" ref="G67:G79" si="16">E67+F67</f>
        <v>2328.8000000000002</v>
      </c>
      <c r="H67" s="10">
        <f>173.7+23.3+210+74.5+1.7+22+87+11.6+140.7+61.7+14.9</f>
        <v>821.1</v>
      </c>
      <c r="I67" s="10"/>
      <c r="J67" s="9">
        <f t="shared" si="14"/>
        <v>821.1</v>
      </c>
      <c r="K67" s="9">
        <f t="shared" si="15"/>
        <v>35.258502232909649</v>
      </c>
      <c r="M67" s="18"/>
      <c r="S67" s="12"/>
      <c r="T67" s="12"/>
      <c r="U67" s="12"/>
      <c r="V67" s="12"/>
      <c r="W67" s="12"/>
    </row>
    <row r="68" spans="1:23" ht="101.25" customHeight="1">
      <c r="A68" s="34">
        <v>12</v>
      </c>
      <c r="B68" s="11"/>
      <c r="C68" s="22" t="s">
        <v>161</v>
      </c>
      <c r="D68" s="15" t="s">
        <v>11</v>
      </c>
      <c r="E68" s="9">
        <f>SUM(E69:E70)</f>
        <v>50</v>
      </c>
      <c r="F68" s="9">
        <f>SUM(F69:F70)</f>
        <v>100</v>
      </c>
      <c r="G68" s="9">
        <f t="shared" si="16"/>
        <v>150</v>
      </c>
      <c r="H68" s="9">
        <f>SUM(H69:H70)</f>
        <v>0</v>
      </c>
      <c r="I68" s="9">
        <f>SUM(I69:I70)</f>
        <v>0</v>
      </c>
      <c r="J68" s="9">
        <f t="shared" ref="J68:J76" si="17">H68+I68</f>
        <v>0</v>
      </c>
      <c r="K68" s="9">
        <f>J68/G68*100</f>
        <v>0</v>
      </c>
      <c r="M68" s="18"/>
      <c r="S68" s="12"/>
      <c r="T68" s="12"/>
      <c r="U68" s="12"/>
      <c r="V68" s="12"/>
      <c r="W68" s="12"/>
    </row>
    <row r="69" spans="1:23" ht="94.5" customHeight="1">
      <c r="A69" s="34"/>
      <c r="B69" s="11" t="s">
        <v>162</v>
      </c>
      <c r="C69" s="29" t="s">
        <v>70</v>
      </c>
      <c r="D69" s="1" t="s">
        <v>211</v>
      </c>
      <c r="E69" s="10">
        <v>50</v>
      </c>
      <c r="F69" s="10"/>
      <c r="G69" s="9">
        <f t="shared" si="16"/>
        <v>50</v>
      </c>
      <c r="H69" s="9"/>
      <c r="I69" s="9"/>
      <c r="J69" s="9">
        <f t="shared" si="17"/>
        <v>0</v>
      </c>
      <c r="K69" s="9">
        <f t="shared" si="15"/>
        <v>0</v>
      </c>
      <c r="M69" s="18"/>
      <c r="S69" s="12"/>
      <c r="T69" s="12"/>
      <c r="U69" s="12"/>
      <c r="V69" s="12"/>
      <c r="W69" s="12"/>
    </row>
    <row r="70" spans="1:23" ht="50.25" customHeight="1">
      <c r="A70" s="34"/>
      <c r="B70" s="23" t="s">
        <v>128</v>
      </c>
      <c r="C70" s="29" t="s">
        <v>70</v>
      </c>
      <c r="D70" s="1" t="s">
        <v>9</v>
      </c>
      <c r="E70" s="10"/>
      <c r="F70" s="10">
        <v>100</v>
      </c>
      <c r="G70" s="9">
        <f t="shared" si="16"/>
        <v>100</v>
      </c>
      <c r="H70" s="10"/>
      <c r="I70" s="10"/>
      <c r="J70" s="9">
        <f t="shared" si="17"/>
        <v>0</v>
      </c>
      <c r="K70" s="9">
        <f t="shared" si="15"/>
        <v>0</v>
      </c>
      <c r="M70" s="18"/>
      <c r="S70" s="12"/>
      <c r="T70" s="12"/>
      <c r="U70" s="12"/>
      <c r="V70" s="12"/>
      <c r="W70" s="12"/>
    </row>
    <row r="71" spans="1:23" ht="94.5" customHeight="1">
      <c r="A71" s="34">
        <v>13</v>
      </c>
      <c r="B71" s="11"/>
      <c r="C71" s="21" t="s">
        <v>124</v>
      </c>
      <c r="D71" s="15" t="s">
        <v>11</v>
      </c>
      <c r="E71" s="9">
        <f>SUM(E72:E75)</f>
        <v>4050</v>
      </c>
      <c r="F71" s="9">
        <f>SUM(F72:F75)</f>
        <v>62500</v>
      </c>
      <c r="G71" s="9">
        <f t="shared" si="16"/>
        <v>66550</v>
      </c>
      <c r="H71" s="9">
        <f>SUM(H72:H75)</f>
        <v>1340.98</v>
      </c>
      <c r="I71" s="9">
        <f>SUM(I72:I75)</f>
        <v>24326.899999999998</v>
      </c>
      <c r="J71" s="9">
        <f>H71+I71</f>
        <v>25667.879999999997</v>
      </c>
      <c r="K71" s="9">
        <f>J71/G71*100</f>
        <v>38.569316303531174</v>
      </c>
      <c r="M71" s="18"/>
      <c r="S71" s="12"/>
      <c r="T71" s="12"/>
      <c r="U71" s="12"/>
      <c r="V71" s="12"/>
      <c r="W71" s="12"/>
    </row>
    <row r="72" spans="1:23" ht="52.5" customHeight="1">
      <c r="A72" s="34"/>
      <c r="B72" s="11" t="s">
        <v>167</v>
      </c>
      <c r="C72" s="1" t="s">
        <v>53</v>
      </c>
      <c r="D72" s="31" t="s">
        <v>211</v>
      </c>
      <c r="E72" s="9"/>
      <c r="F72" s="10">
        <f>30000-10000</f>
        <v>20000</v>
      </c>
      <c r="G72" s="9">
        <f t="shared" si="16"/>
        <v>20000</v>
      </c>
      <c r="H72" s="9"/>
      <c r="I72" s="9"/>
      <c r="J72" s="9">
        <f t="shared" si="17"/>
        <v>0</v>
      </c>
      <c r="K72" s="9">
        <f t="shared" si="15"/>
        <v>0</v>
      </c>
      <c r="M72" s="18"/>
      <c r="S72" s="12"/>
      <c r="T72" s="12"/>
      <c r="U72" s="12"/>
      <c r="V72" s="12"/>
      <c r="W72" s="12"/>
    </row>
    <row r="73" spans="1:23" ht="60.75" customHeight="1">
      <c r="A73" s="34"/>
      <c r="B73" s="11" t="s">
        <v>43</v>
      </c>
      <c r="C73" s="1" t="s">
        <v>55</v>
      </c>
      <c r="D73" s="32"/>
      <c r="E73" s="10">
        <f>6550-2500</f>
        <v>4050</v>
      </c>
      <c r="F73" s="10">
        <f>30000-20000-10000</f>
        <v>0</v>
      </c>
      <c r="G73" s="9">
        <f t="shared" si="16"/>
        <v>4050</v>
      </c>
      <c r="H73" s="10">
        <f>180.8+253.7+35.4+33.8+254.7+17.3+85.54+62.14+49.9+319.8+47.9</f>
        <v>1340.98</v>
      </c>
      <c r="I73" s="10"/>
      <c r="J73" s="9">
        <f t="shared" si="17"/>
        <v>1340.98</v>
      </c>
      <c r="K73" s="9">
        <f t="shared" si="15"/>
        <v>33.110617283950617</v>
      </c>
      <c r="M73" s="18"/>
      <c r="S73" s="12"/>
      <c r="T73" s="12"/>
      <c r="U73" s="12"/>
      <c r="V73" s="12"/>
      <c r="W73" s="12"/>
    </row>
    <row r="74" spans="1:23" ht="60.75" customHeight="1">
      <c r="A74" s="34"/>
      <c r="B74" s="11" t="s">
        <v>210</v>
      </c>
      <c r="C74" s="1" t="s">
        <v>55</v>
      </c>
      <c r="D74" s="30" t="s">
        <v>100</v>
      </c>
      <c r="E74" s="10"/>
      <c r="F74" s="10">
        <f>10100</f>
        <v>10100</v>
      </c>
      <c r="G74" s="9">
        <f t="shared" si="16"/>
        <v>10100</v>
      </c>
      <c r="H74" s="10"/>
      <c r="I74" s="10"/>
      <c r="J74" s="9">
        <f t="shared" si="17"/>
        <v>0</v>
      </c>
      <c r="K74" s="9">
        <f t="shared" si="15"/>
        <v>0</v>
      </c>
      <c r="M74" s="18"/>
      <c r="S74" s="12"/>
      <c r="T74" s="12"/>
      <c r="U74" s="12"/>
      <c r="V74" s="12"/>
      <c r="W74" s="12"/>
    </row>
    <row r="75" spans="1:23" ht="57" customHeight="1">
      <c r="A75" s="34"/>
      <c r="B75" s="11" t="s">
        <v>178</v>
      </c>
      <c r="C75" s="1" t="s">
        <v>55</v>
      </c>
      <c r="D75" s="1" t="s">
        <v>9</v>
      </c>
      <c r="E75" s="10"/>
      <c r="F75" s="10">
        <f>30000+12500-10100</f>
        <v>32400</v>
      </c>
      <c r="G75" s="9">
        <f t="shared" si="16"/>
        <v>32400</v>
      </c>
      <c r="H75" s="10"/>
      <c r="I75" s="10">
        <f>4000+2000-0.8+6057.9+12269.8</f>
        <v>24326.899999999998</v>
      </c>
      <c r="J75" s="9">
        <f t="shared" si="17"/>
        <v>24326.899999999998</v>
      </c>
      <c r="K75" s="9">
        <f t="shared" si="15"/>
        <v>75.08302469135802</v>
      </c>
      <c r="M75" s="18"/>
      <c r="S75" s="12"/>
      <c r="T75" s="12"/>
      <c r="U75" s="12"/>
      <c r="V75" s="12"/>
      <c r="W75" s="12"/>
    </row>
    <row r="76" spans="1:23" ht="104.25" customHeight="1">
      <c r="A76" s="34">
        <v>14</v>
      </c>
      <c r="B76" s="11"/>
      <c r="C76" s="21" t="s">
        <v>123</v>
      </c>
      <c r="D76" s="15" t="s">
        <v>11</v>
      </c>
      <c r="E76" s="9">
        <f>SUM(E77:E79)</f>
        <v>1200</v>
      </c>
      <c r="F76" s="9">
        <f>SUM(F77:F79)</f>
        <v>23250</v>
      </c>
      <c r="G76" s="9">
        <f t="shared" si="16"/>
        <v>24450</v>
      </c>
      <c r="H76" s="9">
        <f>SUM(H77:H79)</f>
        <v>0</v>
      </c>
      <c r="I76" s="9">
        <f>SUM(I77:I79)</f>
        <v>1478.1</v>
      </c>
      <c r="J76" s="9">
        <f t="shared" si="17"/>
        <v>1478.1</v>
      </c>
      <c r="K76" s="9">
        <f t="shared" ref="K76:K83" si="18">J76/G76*100</f>
        <v>6.0453987730061343</v>
      </c>
      <c r="M76" s="18"/>
      <c r="S76" s="12"/>
      <c r="T76" s="12"/>
      <c r="U76" s="12"/>
      <c r="V76" s="12"/>
      <c r="W76" s="12"/>
    </row>
    <row r="77" spans="1:23" ht="47.25" customHeight="1">
      <c r="A77" s="34"/>
      <c r="B77" s="11">
        <v>1617340</v>
      </c>
      <c r="C77" s="1" t="s">
        <v>32</v>
      </c>
      <c r="D77" s="34" t="s">
        <v>17</v>
      </c>
      <c r="E77" s="10">
        <f>450+200</f>
        <v>650</v>
      </c>
      <c r="F77" s="10">
        <f>23450-4392</f>
        <v>19058</v>
      </c>
      <c r="G77" s="9">
        <f t="shared" si="16"/>
        <v>19708</v>
      </c>
      <c r="H77" s="10"/>
      <c r="I77" s="10">
        <f>518.9+3.3+955.9</f>
        <v>1478.1</v>
      </c>
      <c r="J77" s="9">
        <f t="shared" si="14"/>
        <v>1478.1</v>
      </c>
      <c r="K77" s="9">
        <f t="shared" si="18"/>
        <v>7.5</v>
      </c>
      <c r="M77" s="18"/>
      <c r="S77" s="12"/>
      <c r="T77" s="12"/>
      <c r="U77" s="12"/>
      <c r="V77" s="12"/>
      <c r="W77" s="12"/>
    </row>
    <row r="78" spans="1:23" ht="55.5" customHeight="1">
      <c r="A78" s="34"/>
      <c r="B78" s="11" t="s">
        <v>208</v>
      </c>
      <c r="C78" s="26" t="s">
        <v>185</v>
      </c>
      <c r="D78" s="34"/>
      <c r="E78" s="10"/>
      <c r="F78" s="10">
        <f>4192</f>
        <v>4192</v>
      </c>
      <c r="G78" s="9">
        <f t="shared" si="16"/>
        <v>4192</v>
      </c>
      <c r="H78" s="10"/>
      <c r="I78" s="10"/>
      <c r="J78" s="9">
        <f t="shared" si="14"/>
        <v>0</v>
      </c>
      <c r="K78" s="9">
        <f t="shared" si="18"/>
        <v>0</v>
      </c>
      <c r="M78" s="18"/>
      <c r="S78" s="12"/>
      <c r="T78" s="12"/>
      <c r="U78" s="12"/>
      <c r="V78" s="12"/>
      <c r="W78" s="12"/>
    </row>
    <row r="79" spans="1:23" ht="55.5" customHeight="1">
      <c r="A79" s="34"/>
      <c r="B79" s="11" t="s">
        <v>136</v>
      </c>
      <c r="C79" s="1" t="s">
        <v>140</v>
      </c>
      <c r="D79" s="34"/>
      <c r="E79" s="10">
        <v>550</v>
      </c>
      <c r="F79" s="10"/>
      <c r="G79" s="9">
        <f t="shared" si="16"/>
        <v>550</v>
      </c>
      <c r="H79" s="10"/>
      <c r="I79" s="10"/>
      <c r="J79" s="9">
        <f t="shared" si="14"/>
        <v>0</v>
      </c>
      <c r="K79" s="9">
        <f t="shared" si="18"/>
        <v>0</v>
      </c>
      <c r="M79" s="18"/>
      <c r="S79" s="12"/>
      <c r="T79" s="12"/>
      <c r="U79" s="12"/>
      <c r="V79" s="12"/>
      <c r="W79" s="12"/>
    </row>
    <row r="80" spans="1:23" ht="90" customHeight="1">
      <c r="A80" s="34">
        <v>15</v>
      </c>
      <c r="B80" s="1"/>
      <c r="C80" s="21" t="s">
        <v>125</v>
      </c>
      <c r="D80" s="15" t="s">
        <v>11</v>
      </c>
      <c r="E80" s="9">
        <f>SUM(E81+E82+E83)</f>
        <v>130</v>
      </c>
      <c r="F80" s="9">
        <f>SUM(F81+F82+F83)</f>
        <v>3580</v>
      </c>
      <c r="G80" s="9">
        <f>SUM(E80+F80)</f>
        <v>3710</v>
      </c>
      <c r="H80" s="9">
        <f>SUM(H81+H82+H83)</f>
        <v>16</v>
      </c>
      <c r="I80" s="9">
        <f>SUM(I81+I82+I83)</f>
        <v>2373.5</v>
      </c>
      <c r="J80" s="9">
        <f t="shared" si="14"/>
        <v>2389.5</v>
      </c>
      <c r="K80" s="9">
        <f t="shared" si="18"/>
        <v>64.40700808625337</v>
      </c>
      <c r="M80" s="18"/>
      <c r="S80" s="12"/>
      <c r="T80" s="12"/>
      <c r="U80" s="12"/>
      <c r="V80" s="12"/>
      <c r="W80" s="12"/>
    </row>
    <row r="81" spans="1:23" ht="59.25" customHeight="1">
      <c r="A81" s="34"/>
      <c r="B81" s="11" t="s">
        <v>56</v>
      </c>
      <c r="C81" s="24" t="s">
        <v>33</v>
      </c>
      <c r="D81" s="39" t="s">
        <v>17</v>
      </c>
      <c r="E81" s="10"/>
      <c r="F81" s="10">
        <f>1500-1400</f>
        <v>100</v>
      </c>
      <c r="G81" s="9">
        <f t="shared" ref="G81:G88" si="19">E81+F81</f>
        <v>100</v>
      </c>
      <c r="H81" s="10"/>
      <c r="I81" s="10"/>
      <c r="J81" s="9">
        <f t="shared" si="14"/>
        <v>0</v>
      </c>
      <c r="K81" s="9">
        <f t="shared" si="18"/>
        <v>0</v>
      </c>
      <c r="M81" s="18"/>
      <c r="S81" s="12"/>
      <c r="T81" s="12"/>
      <c r="U81" s="12"/>
      <c r="V81" s="12"/>
      <c r="W81" s="12"/>
    </row>
    <row r="82" spans="1:23" ht="48.75" customHeight="1">
      <c r="A82" s="34"/>
      <c r="B82" s="23" t="s">
        <v>126</v>
      </c>
      <c r="C82" s="25" t="s">
        <v>127</v>
      </c>
      <c r="D82" s="39"/>
      <c r="E82" s="10">
        <v>130</v>
      </c>
      <c r="F82" s="10">
        <v>80</v>
      </c>
      <c r="G82" s="9">
        <f t="shared" si="19"/>
        <v>210</v>
      </c>
      <c r="H82" s="10">
        <f>4+4+4+4</f>
        <v>16</v>
      </c>
      <c r="I82" s="10">
        <f>73.5</f>
        <v>73.5</v>
      </c>
      <c r="J82" s="9">
        <f t="shared" si="14"/>
        <v>89.5</v>
      </c>
      <c r="K82" s="9">
        <f>J82/G82*100</f>
        <v>42.61904761904762</v>
      </c>
      <c r="M82" s="18"/>
      <c r="S82" s="12"/>
      <c r="T82" s="12"/>
      <c r="U82" s="12"/>
      <c r="V82" s="12"/>
      <c r="W82" s="12"/>
    </row>
    <row r="83" spans="1:23" ht="45" customHeight="1">
      <c r="A83" s="34"/>
      <c r="B83" s="11">
        <v>1619770</v>
      </c>
      <c r="C83" s="25" t="s">
        <v>30</v>
      </c>
      <c r="D83" s="39"/>
      <c r="E83" s="10"/>
      <c r="F83" s="10">
        <f>2000+1400</f>
        <v>3400</v>
      </c>
      <c r="G83" s="9">
        <f t="shared" si="19"/>
        <v>3400</v>
      </c>
      <c r="H83" s="10"/>
      <c r="I83" s="10">
        <f>800+1500</f>
        <v>2300</v>
      </c>
      <c r="J83" s="9">
        <f t="shared" si="14"/>
        <v>2300</v>
      </c>
      <c r="K83" s="9">
        <f t="shared" si="18"/>
        <v>67.64705882352942</v>
      </c>
      <c r="M83" s="18"/>
      <c r="S83" s="12"/>
      <c r="T83" s="12"/>
      <c r="U83" s="12"/>
      <c r="V83" s="12"/>
      <c r="W83" s="12"/>
    </row>
    <row r="84" spans="1:23" ht="82.5" customHeight="1">
      <c r="A84" s="34">
        <v>16</v>
      </c>
      <c r="B84" s="11"/>
      <c r="C84" s="21" t="s">
        <v>122</v>
      </c>
      <c r="D84" s="15" t="s">
        <v>11</v>
      </c>
      <c r="E84" s="9">
        <f>E85+E86</f>
        <v>0</v>
      </c>
      <c r="F84" s="9">
        <f>F85+F86</f>
        <v>1215</v>
      </c>
      <c r="G84" s="9">
        <f>E84+F84</f>
        <v>1215</v>
      </c>
      <c r="H84" s="9">
        <f>H85+H86</f>
        <v>0</v>
      </c>
      <c r="I84" s="9">
        <f>I85+I86</f>
        <v>450</v>
      </c>
      <c r="J84" s="9">
        <f t="shared" si="14"/>
        <v>450</v>
      </c>
      <c r="K84" s="9">
        <f t="shared" ref="K84:K89" si="20">J84/G84*100</f>
        <v>37.037037037037038</v>
      </c>
      <c r="M84" s="18"/>
      <c r="S84" s="12"/>
      <c r="T84" s="12"/>
      <c r="U84" s="12"/>
      <c r="V84" s="12"/>
      <c r="W84" s="12"/>
    </row>
    <row r="85" spans="1:23" ht="66" customHeight="1">
      <c r="A85" s="34"/>
      <c r="B85" s="11">
        <v>1618821</v>
      </c>
      <c r="C85" s="1" t="s">
        <v>57</v>
      </c>
      <c r="D85" s="34" t="s">
        <v>17</v>
      </c>
      <c r="E85" s="10"/>
      <c r="F85" s="10">
        <v>215</v>
      </c>
      <c r="G85" s="9">
        <f t="shared" si="19"/>
        <v>215</v>
      </c>
      <c r="H85" s="10"/>
      <c r="I85" s="10"/>
      <c r="J85" s="9">
        <f t="shared" si="14"/>
        <v>0</v>
      </c>
      <c r="K85" s="9">
        <f t="shared" si="20"/>
        <v>0</v>
      </c>
      <c r="M85" s="18"/>
      <c r="S85" s="12"/>
      <c r="T85" s="12"/>
      <c r="U85" s="12"/>
      <c r="V85" s="12"/>
      <c r="W85" s="12"/>
    </row>
    <row r="86" spans="1:23" ht="51.75" customHeight="1">
      <c r="A86" s="34"/>
      <c r="B86" s="11">
        <v>1618831</v>
      </c>
      <c r="C86" s="1" t="s">
        <v>58</v>
      </c>
      <c r="D86" s="34"/>
      <c r="E86" s="10"/>
      <c r="F86" s="10">
        <v>1000</v>
      </c>
      <c r="G86" s="9">
        <f t="shared" si="19"/>
        <v>1000</v>
      </c>
      <c r="H86" s="10"/>
      <c r="I86" s="10">
        <f>150+250+50</f>
        <v>450</v>
      </c>
      <c r="J86" s="9">
        <f t="shared" si="14"/>
        <v>450</v>
      </c>
      <c r="K86" s="9">
        <f t="shared" si="20"/>
        <v>45</v>
      </c>
      <c r="M86" s="18"/>
      <c r="S86" s="12"/>
      <c r="T86" s="12"/>
      <c r="U86" s="12"/>
      <c r="V86" s="12"/>
      <c r="W86" s="12"/>
    </row>
    <row r="87" spans="1:23" ht="87" customHeight="1">
      <c r="A87" s="34">
        <v>17</v>
      </c>
      <c r="B87" s="11"/>
      <c r="C87" s="21" t="s">
        <v>121</v>
      </c>
      <c r="D87" s="15" t="s">
        <v>11</v>
      </c>
      <c r="E87" s="9">
        <f>SUM(E88:E89)</f>
        <v>550811.4</v>
      </c>
      <c r="F87" s="9">
        <f>SUM(F88:F89)</f>
        <v>49491.5</v>
      </c>
      <c r="G87" s="9">
        <f>E87+F87</f>
        <v>600302.9</v>
      </c>
      <c r="H87" s="9">
        <f>SUM(H88:H89)</f>
        <v>319508.54299999995</v>
      </c>
      <c r="I87" s="9">
        <f>SUM(I88:I89)</f>
        <v>702.4</v>
      </c>
      <c r="J87" s="9">
        <f>H87+I87</f>
        <v>320210.94299999997</v>
      </c>
      <c r="K87" s="9">
        <f t="shared" si="20"/>
        <v>53.341561901500057</v>
      </c>
      <c r="M87" s="18"/>
      <c r="S87" s="12"/>
      <c r="T87" s="12"/>
      <c r="U87" s="12"/>
      <c r="V87" s="12"/>
      <c r="W87" s="12"/>
    </row>
    <row r="88" spans="1:23" ht="62.25" customHeight="1">
      <c r="A88" s="34"/>
      <c r="B88" s="11" t="s">
        <v>45</v>
      </c>
      <c r="C88" s="1" t="s">
        <v>59</v>
      </c>
      <c r="D88" s="34" t="s">
        <v>174</v>
      </c>
      <c r="E88" s="10">
        <v>240000</v>
      </c>
      <c r="F88" s="10"/>
      <c r="G88" s="9">
        <f t="shared" si="19"/>
        <v>240000</v>
      </c>
      <c r="H88" s="10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+317.5+8110+19029.3+415.5</f>
        <v>179451.84299999996</v>
      </c>
      <c r="I88" s="10"/>
      <c r="J88" s="9">
        <f>H88+I88</f>
        <v>179451.84299999996</v>
      </c>
      <c r="K88" s="9">
        <f t="shared" si="20"/>
        <v>74.771601249999989</v>
      </c>
      <c r="M88" s="18"/>
      <c r="S88" s="12"/>
      <c r="T88" s="12"/>
      <c r="U88" s="12"/>
      <c r="V88" s="12"/>
      <c r="W88" s="12"/>
    </row>
    <row r="89" spans="1:23" ht="61.5" customHeight="1">
      <c r="A89" s="34"/>
      <c r="B89" s="11" t="s">
        <v>175</v>
      </c>
      <c r="C89" s="1" t="s">
        <v>176</v>
      </c>
      <c r="D89" s="34"/>
      <c r="E89" s="10">
        <f>96047.4+90724+50060+69250+4730</f>
        <v>310811.40000000002</v>
      </c>
      <c r="F89" s="10">
        <f>1200+41121.5+11800+100-4730</f>
        <v>49491.5</v>
      </c>
      <c r="G89" s="9">
        <f>E89+F89</f>
        <v>360302.9</v>
      </c>
      <c r="H89" s="10">
        <f>327.5+77.2+7434.1+22080.6+15814.1+13000+15913.5+5016.2+3000+13299+1447+6500+27.7+8228.8+8825+732.4+6833.7+4999.9+6500</f>
        <v>140056.69999999998</v>
      </c>
      <c r="I89" s="10">
        <f>702.4</f>
        <v>702.4</v>
      </c>
      <c r="J89" s="9">
        <f>H89+I89</f>
        <v>140759.09999999998</v>
      </c>
      <c r="K89" s="9">
        <f t="shared" si="20"/>
        <v>39.066879561613291</v>
      </c>
      <c r="M89" s="18"/>
      <c r="S89" s="12"/>
      <c r="T89" s="12"/>
      <c r="U89" s="12"/>
      <c r="V89" s="12"/>
      <c r="W89" s="12"/>
    </row>
    <row r="90" spans="1:23" ht="73.5" customHeight="1">
      <c r="A90" s="34">
        <v>18</v>
      </c>
      <c r="B90" s="11"/>
      <c r="C90" s="21" t="s">
        <v>166</v>
      </c>
      <c r="D90" s="15" t="s">
        <v>11</v>
      </c>
      <c r="E90" s="9">
        <f>SUM(E91)</f>
        <v>3000</v>
      </c>
      <c r="F90" s="9">
        <f>SUM(F91)</f>
        <v>0</v>
      </c>
      <c r="G90" s="9">
        <f t="shared" ref="G90:G100" si="21">E90+F90</f>
        <v>3000</v>
      </c>
      <c r="H90" s="9">
        <f>SUM(H91)</f>
        <v>332.6</v>
      </c>
      <c r="I90" s="9">
        <f>SUM(I91)</f>
        <v>0</v>
      </c>
      <c r="J90" s="9">
        <f>H90+I90</f>
        <v>332.6</v>
      </c>
      <c r="K90" s="9">
        <f>J90/G90*100</f>
        <v>11.086666666666666</v>
      </c>
      <c r="M90" s="18"/>
      <c r="S90" s="12"/>
      <c r="T90" s="12"/>
      <c r="U90" s="12"/>
      <c r="V90" s="12"/>
      <c r="W90" s="12"/>
    </row>
    <row r="91" spans="1:23" ht="65.25" customHeight="1">
      <c r="A91" s="34"/>
      <c r="B91" s="11" t="s">
        <v>133</v>
      </c>
      <c r="C91" s="1" t="s">
        <v>120</v>
      </c>
      <c r="D91" s="1" t="s">
        <v>100</v>
      </c>
      <c r="E91" s="10">
        <v>3000</v>
      </c>
      <c r="F91" s="10"/>
      <c r="G91" s="9">
        <f t="shared" si="21"/>
        <v>3000</v>
      </c>
      <c r="H91" s="10">
        <f>159.9+62.5+110.2</f>
        <v>332.6</v>
      </c>
      <c r="I91" s="10"/>
      <c r="J91" s="9">
        <f t="shared" ref="J91:J100" si="22">H91+I91</f>
        <v>332.6</v>
      </c>
      <c r="K91" s="9">
        <f t="shared" ref="K91:K104" si="23">J91/G91*100</f>
        <v>11.086666666666666</v>
      </c>
      <c r="M91" s="18"/>
      <c r="S91" s="12"/>
      <c r="T91" s="12"/>
      <c r="U91" s="12"/>
      <c r="V91" s="12"/>
      <c r="W91" s="12"/>
    </row>
    <row r="92" spans="1:23" ht="89.25" customHeight="1">
      <c r="A92" s="34">
        <v>19</v>
      </c>
      <c r="B92" s="11"/>
      <c r="C92" s="22" t="s">
        <v>129</v>
      </c>
      <c r="D92" s="15" t="s">
        <v>11</v>
      </c>
      <c r="E92" s="9">
        <f>SUM(E93:E95)</f>
        <v>34200</v>
      </c>
      <c r="F92" s="9">
        <f>SUM(F93:F95)</f>
        <v>238.7</v>
      </c>
      <c r="G92" s="9">
        <f>E92+F92</f>
        <v>34438.699999999997</v>
      </c>
      <c r="H92" s="9">
        <f>SUM(H93:H95)</f>
        <v>13741.1</v>
      </c>
      <c r="I92" s="9">
        <f>SUM(I93:I95)</f>
        <v>238.7</v>
      </c>
      <c r="J92" s="9">
        <f t="shared" si="22"/>
        <v>13979.800000000001</v>
      </c>
      <c r="K92" s="9">
        <f>J92/G92*100</f>
        <v>40.593286041575325</v>
      </c>
      <c r="M92" s="18"/>
      <c r="S92" s="12"/>
      <c r="T92" s="12"/>
      <c r="U92" s="12"/>
      <c r="V92" s="12"/>
      <c r="W92" s="12"/>
    </row>
    <row r="93" spans="1:23" ht="44.25" customHeight="1">
      <c r="A93" s="34"/>
      <c r="B93" s="11">
        <v>2417110</v>
      </c>
      <c r="C93" s="10" t="s">
        <v>130</v>
      </c>
      <c r="D93" s="34" t="s">
        <v>18</v>
      </c>
      <c r="E93" s="10">
        <v>13600</v>
      </c>
      <c r="F93" s="10"/>
      <c r="G93" s="9">
        <f t="shared" si="21"/>
        <v>13600</v>
      </c>
      <c r="H93" s="10">
        <f>31.9+200.1+203.7+221.7+288.7</f>
        <v>946.09999999999991</v>
      </c>
      <c r="I93" s="10"/>
      <c r="J93" s="9">
        <f t="shared" si="22"/>
        <v>946.09999999999991</v>
      </c>
      <c r="K93" s="9">
        <f>J93/G93*100</f>
        <v>6.956617647058823</v>
      </c>
      <c r="M93" s="18"/>
      <c r="S93" s="12"/>
      <c r="T93" s="12"/>
      <c r="U93" s="12"/>
      <c r="V93" s="12"/>
      <c r="W93" s="12"/>
    </row>
    <row r="94" spans="1:23" ht="49.5" customHeight="1">
      <c r="A94" s="34"/>
      <c r="B94" s="11" t="s">
        <v>177</v>
      </c>
      <c r="C94" s="25" t="s">
        <v>30</v>
      </c>
      <c r="D94" s="34"/>
      <c r="E94" s="10"/>
      <c r="F94" s="10">
        <v>238.7</v>
      </c>
      <c r="G94" s="9">
        <f t="shared" si="21"/>
        <v>238.7</v>
      </c>
      <c r="H94" s="10"/>
      <c r="I94" s="10">
        <f>238.7</f>
        <v>238.7</v>
      </c>
      <c r="J94" s="9">
        <f t="shared" si="22"/>
        <v>238.7</v>
      </c>
      <c r="K94" s="9">
        <f>J94/G94*100</f>
        <v>100</v>
      </c>
      <c r="M94" s="18"/>
      <c r="S94" s="12"/>
      <c r="T94" s="12"/>
      <c r="U94" s="12"/>
      <c r="V94" s="12"/>
      <c r="W94" s="12"/>
    </row>
    <row r="95" spans="1:23" ht="49.5" customHeight="1">
      <c r="A95" s="34"/>
      <c r="B95" s="23" t="s">
        <v>134</v>
      </c>
      <c r="C95" s="25" t="s">
        <v>135</v>
      </c>
      <c r="D95" s="34"/>
      <c r="E95" s="10">
        <v>20600</v>
      </c>
      <c r="F95" s="10"/>
      <c r="G95" s="9">
        <f t="shared" si="21"/>
        <v>20600</v>
      </c>
      <c r="H95" s="10">
        <f>1500+1295+10000</f>
        <v>12795</v>
      </c>
      <c r="I95" s="9"/>
      <c r="J95" s="9">
        <f t="shared" si="22"/>
        <v>12795</v>
      </c>
      <c r="K95" s="9">
        <f>J95/G95*100</f>
        <v>62.111650485436897</v>
      </c>
      <c r="M95" s="18"/>
      <c r="S95" s="12"/>
      <c r="T95" s="12"/>
      <c r="U95" s="12"/>
      <c r="V95" s="12"/>
      <c r="W95" s="12"/>
    </row>
    <row r="96" spans="1:23" ht="78.75" customHeight="1">
      <c r="A96" s="34">
        <v>20</v>
      </c>
      <c r="B96" s="11"/>
      <c r="C96" s="21" t="s">
        <v>118</v>
      </c>
      <c r="D96" s="15" t="s">
        <v>11</v>
      </c>
      <c r="E96" s="9">
        <f>SUM(E97:E98)</f>
        <v>13066.13</v>
      </c>
      <c r="F96" s="9">
        <f>SUM(F97:F98)</f>
        <v>4000</v>
      </c>
      <c r="G96" s="9">
        <f t="shared" si="21"/>
        <v>17066.129999999997</v>
      </c>
      <c r="H96" s="9">
        <f>SUM(H97:H98)</f>
        <v>1046.085</v>
      </c>
      <c r="I96" s="9">
        <f>SUM(I97:I98)</f>
        <v>3200</v>
      </c>
      <c r="J96" s="9">
        <f t="shared" si="22"/>
        <v>4246.085</v>
      </c>
      <c r="K96" s="9">
        <f t="shared" si="23"/>
        <v>24.880186662119652</v>
      </c>
      <c r="M96" s="18"/>
      <c r="S96" s="12"/>
      <c r="T96" s="12"/>
      <c r="U96" s="12"/>
      <c r="V96" s="12"/>
      <c r="W96" s="12"/>
    </row>
    <row r="97" spans="1:23" ht="47.25" customHeight="1">
      <c r="A97" s="34"/>
      <c r="B97" s="11" t="s">
        <v>44</v>
      </c>
      <c r="C97" s="1" t="s">
        <v>60</v>
      </c>
      <c r="D97" s="34" t="s">
        <v>19</v>
      </c>
      <c r="E97" s="10">
        <f>12300+266.13</f>
        <v>12566.13</v>
      </c>
      <c r="F97" s="10"/>
      <c r="G97" s="9">
        <f t="shared" si="21"/>
        <v>12566.13</v>
      </c>
      <c r="H97" s="10">
        <f>435.985+238.2+44.1+287.8+40</f>
        <v>1046.085</v>
      </c>
      <c r="I97" s="10"/>
      <c r="J97" s="9">
        <f t="shared" si="22"/>
        <v>1046.085</v>
      </c>
      <c r="K97" s="9">
        <f t="shared" si="23"/>
        <v>8.3246393280986286</v>
      </c>
      <c r="M97" s="18"/>
      <c r="S97" s="12"/>
      <c r="T97" s="12"/>
      <c r="U97" s="12"/>
      <c r="V97" s="12"/>
      <c r="W97" s="12"/>
    </row>
    <row r="98" spans="1:23" ht="56.25" customHeight="1">
      <c r="A98" s="34"/>
      <c r="B98" s="11" t="s">
        <v>119</v>
      </c>
      <c r="C98" s="1" t="s">
        <v>63</v>
      </c>
      <c r="D98" s="34"/>
      <c r="E98" s="10">
        <v>500</v>
      </c>
      <c r="F98" s="10">
        <v>4000</v>
      </c>
      <c r="G98" s="9">
        <f t="shared" si="21"/>
        <v>4500</v>
      </c>
      <c r="H98" s="10"/>
      <c r="I98" s="10">
        <f>3200</f>
        <v>3200</v>
      </c>
      <c r="J98" s="9">
        <f t="shared" si="22"/>
        <v>3200</v>
      </c>
      <c r="K98" s="9">
        <f t="shared" si="23"/>
        <v>71.111111111111114</v>
      </c>
      <c r="M98" s="18"/>
      <c r="S98" s="12"/>
      <c r="T98" s="12"/>
      <c r="U98" s="12"/>
      <c r="V98" s="12"/>
      <c r="W98" s="12"/>
    </row>
    <row r="99" spans="1:23" ht="59.25" customHeight="1">
      <c r="A99" s="34">
        <v>21</v>
      </c>
      <c r="B99" s="1"/>
      <c r="C99" s="21" t="s">
        <v>117</v>
      </c>
      <c r="D99" s="15" t="s">
        <v>11</v>
      </c>
      <c r="E99" s="9">
        <f>SUM(E100)</f>
        <v>1244.6590000000001</v>
      </c>
      <c r="F99" s="9">
        <f>SUM(F100)</f>
        <v>0</v>
      </c>
      <c r="G99" s="9">
        <f t="shared" si="21"/>
        <v>1244.6590000000001</v>
      </c>
      <c r="H99" s="9">
        <f>SUM(H100)</f>
        <v>244.7</v>
      </c>
      <c r="I99" s="9">
        <f>SUM(I100)</f>
        <v>0</v>
      </c>
      <c r="J99" s="9">
        <f t="shared" si="22"/>
        <v>244.7</v>
      </c>
      <c r="K99" s="9">
        <f t="shared" si="23"/>
        <v>19.660003261937604</v>
      </c>
      <c r="M99" s="18"/>
      <c r="S99" s="12"/>
      <c r="T99" s="12"/>
      <c r="U99" s="12"/>
      <c r="V99" s="12"/>
      <c r="W99" s="12"/>
    </row>
    <row r="100" spans="1:23" ht="45.75" customHeight="1">
      <c r="A100" s="34"/>
      <c r="B100" s="11">
        <v>2617622</v>
      </c>
      <c r="C100" s="1" t="s">
        <v>61</v>
      </c>
      <c r="D100" s="1" t="s">
        <v>20</v>
      </c>
      <c r="E100" s="10">
        <f>1000+244.659</f>
        <v>1244.6590000000001</v>
      </c>
      <c r="F100" s="10"/>
      <c r="G100" s="9">
        <f t="shared" si="21"/>
        <v>1244.6590000000001</v>
      </c>
      <c r="H100" s="10">
        <f>244.7</f>
        <v>244.7</v>
      </c>
      <c r="I100" s="9"/>
      <c r="J100" s="9">
        <f t="shared" si="22"/>
        <v>244.7</v>
      </c>
      <c r="K100" s="9">
        <f t="shared" si="23"/>
        <v>19.660003261937604</v>
      </c>
      <c r="M100" s="18"/>
      <c r="S100" s="12"/>
      <c r="T100" s="12"/>
      <c r="U100" s="12"/>
      <c r="V100" s="12"/>
      <c r="W100" s="12"/>
    </row>
    <row r="101" spans="1:23" ht="78.75" customHeight="1">
      <c r="A101" s="34">
        <v>22</v>
      </c>
      <c r="B101" s="11"/>
      <c r="C101" s="21" t="s">
        <v>168</v>
      </c>
      <c r="D101" s="15" t="s">
        <v>11</v>
      </c>
      <c r="E101" s="9">
        <f>SUM(E102)</f>
        <v>11000</v>
      </c>
      <c r="F101" s="9">
        <f>SUM(F102)</f>
        <v>0</v>
      </c>
      <c r="G101" s="9">
        <f>SUM(E101+F101)</f>
        <v>11000</v>
      </c>
      <c r="H101" s="9">
        <f>SUM(H102)</f>
        <v>3805.8</v>
      </c>
      <c r="I101" s="9">
        <f>SUM(I102)</f>
        <v>0</v>
      </c>
      <c r="J101" s="9">
        <f>H101+I101</f>
        <v>3805.8</v>
      </c>
      <c r="K101" s="9">
        <f>J101/G101*100</f>
        <v>34.598181818181821</v>
      </c>
      <c r="M101" s="18"/>
      <c r="S101" s="12"/>
      <c r="T101" s="12"/>
      <c r="U101" s="12"/>
      <c r="V101" s="12"/>
      <c r="W101" s="12"/>
    </row>
    <row r="102" spans="1:23" ht="57.75" customHeight="1">
      <c r="A102" s="34"/>
      <c r="B102" s="11" t="s">
        <v>169</v>
      </c>
      <c r="C102" s="1" t="s">
        <v>170</v>
      </c>
      <c r="D102" s="1" t="s">
        <v>1</v>
      </c>
      <c r="E102" s="10">
        <v>11000</v>
      </c>
      <c r="F102" s="10"/>
      <c r="G102" s="9">
        <f t="shared" ref="G102:G110" si="24">E102+F102</f>
        <v>11000</v>
      </c>
      <c r="H102" s="10">
        <f>1396.2+464.6+116.7+387.6+328.1+210.6+45.6+170.3+248.3+242.6+88.1+18+89.1</f>
        <v>3805.8</v>
      </c>
      <c r="I102" s="10"/>
      <c r="J102" s="9">
        <f>H102+I102</f>
        <v>3805.8</v>
      </c>
      <c r="K102" s="9">
        <f t="shared" si="23"/>
        <v>34.598181818181821</v>
      </c>
      <c r="M102" s="18"/>
      <c r="S102" s="12"/>
      <c r="T102" s="12"/>
      <c r="U102" s="12"/>
      <c r="V102" s="12"/>
      <c r="W102" s="12"/>
    </row>
    <row r="103" spans="1:23" ht="70.5" customHeight="1">
      <c r="A103" s="34">
        <v>23</v>
      </c>
      <c r="B103" s="11"/>
      <c r="C103" s="21" t="s">
        <v>116</v>
      </c>
      <c r="D103" s="15" t="s">
        <v>11</v>
      </c>
      <c r="E103" s="9">
        <f>SUM(E104)</f>
        <v>6885.7510000000002</v>
      </c>
      <c r="F103" s="9">
        <f>SUM(F104)</f>
        <v>0</v>
      </c>
      <c r="G103" s="9">
        <f t="shared" si="24"/>
        <v>6885.7510000000002</v>
      </c>
      <c r="H103" s="9">
        <f>SUM(H104)</f>
        <v>52.842999999999989</v>
      </c>
      <c r="I103" s="9">
        <f>SUM(I104)</f>
        <v>0</v>
      </c>
      <c r="J103" s="9">
        <f>H103+I103</f>
        <v>52.842999999999989</v>
      </c>
      <c r="K103" s="9">
        <f t="shared" si="23"/>
        <v>0.7674253687070588</v>
      </c>
      <c r="M103" s="18"/>
      <c r="S103" s="12"/>
      <c r="T103" s="12"/>
      <c r="U103" s="12"/>
      <c r="V103" s="12"/>
      <c r="W103" s="12"/>
    </row>
    <row r="104" spans="1:23" ht="43.5" customHeight="1">
      <c r="A104" s="34"/>
      <c r="B104" s="11">
        <v>2717693</v>
      </c>
      <c r="C104" s="10" t="s">
        <v>114</v>
      </c>
      <c r="D104" s="1" t="s">
        <v>21</v>
      </c>
      <c r="E104" s="10">
        <f>6850+35.751</f>
        <v>6885.7510000000002</v>
      </c>
      <c r="F104" s="10"/>
      <c r="G104" s="9">
        <f t="shared" si="24"/>
        <v>6885.7510000000002</v>
      </c>
      <c r="H104" s="10">
        <f>6.94+35.751+8.9+0.9+0.352</f>
        <v>52.842999999999989</v>
      </c>
      <c r="I104" s="10"/>
      <c r="J104" s="9">
        <f>H104+I104</f>
        <v>52.842999999999989</v>
      </c>
      <c r="K104" s="9">
        <f t="shared" si="23"/>
        <v>0.7674253687070588</v>
      </c>
      <c r="M104" s="18"/>
      <c r="S104" s="12"/>
      <c r="T104" s="12"/>
      <c r="U104" s="12"/>
      <c r="V104" s="12"/>
      <c r="W104" s="12"/>
    </row>
    <row r="105" spans="1:23" ht="70.5" customHeight="1">
      <c r="A105" s="34">
        <v>24</v>
      </c>
      <c r="B105" s="11"/>
      <c r="C105" s="21" t="s">
        <v>115</v>
      </c>
      <c r="D105" s="15" t="s">
        <v>11</v>
      </c>
      <c r="E105" s="9">
        <f>SUM(E106:E109)</f>
        <v>2274.1</v>
      </c>
      <c r="F105" s="9">
        <f>SUM(F106:F109)</f>
        <v>78547</v>
      </c>
      <c r="G105" s="9">
        <f t="shared" si="24"/>
        <v>80821.100000000006</v>
      </c>
      <c r="H105" s="9">
        <f>SUM(H106:H109)</f>
        <v>906.39999999999986</v>
      </c>
      <c r="I105" s="9">
        <f>SUM(I106:I109)</f>
        <v>8093.9000000000005</v>
      </c>
      <c r="J105" s="9">
        <f>H105+I105</f>
        <v>9000.3000000000011</v>
      </c>
      <c r="K105" s="9">
        <f t="shared" ref="K105:K110" si="25">J105/G105*100</f>
        <v>11.136077088780034</v>
      </c>
      <c r="M105" s="18"/>
      <c r="S105" s="12"/>
      <c r="T105" s="12"/>
      <c r="U105" s="12"/>
      <c r="V105" s="12"/>
      <c r="W105" s="12"/>
    </row>
    <row r="106" spans="1:23" ht="45" customHeight="1">
      <c r="A106" s="34"/>
      <c r="B106" s="11" t="s">
        <v>62</v>
      </c>
      <c r="C106" s="1" t="s">
        <v>34</v>
      </c>
      <c r="D106" s="34" t="s">
        <v>22</v>
      </c>
      <c r="E106" s="10">
        <v>2274.1</v>
      </c>
      <c r="F106" s="10"/>
      <c r="G106" s="9">
        <f t="shared" si="24"/>
        <v>2274.1</v>
      </c>
      <c r="H106" s="10">
        <f>57.7+93.5+59.9+101.3+59.6+108.8+59.1+95.3+77.4+117.3+31.5+45</f>
        <v>906.39999999999986</v>
      </c>
      <c r="I106" s="10"/>
      <c r="J106" s="9">
        <f t="shared" ref="J106:J118" si="26">H106+I106</f>
        <v>906.39999999999986</v>
      </c>
      <c r="K106" s="9">
        <f t="shared" si="25"/>
        <v>39.857526054263218</v>
      </c>
      <c r="M106" s="18"/>
      <c r="S106" s="12"/>
      <c r="T106" s="12"/>
      <c r="U106" s="12"/>
      <c r="V106" s="12"/>
      <c r="W106" s="12"/>
    </row>
    <row r="107" spans="1:23" ht="58.5" customHeight="1">
      <c r="A107" s="34"/>
      <c r="B107" s="11" t="s">
        <v>200</v>
      </c>
      <c r="C107" s="1" t="s">
        <v>63</v>
      </c>
      <c r="D107" s="34"/>
      <c r="E107" s="10"/>
      <c r="F107" s="10">
        <f>190</f>
        <v>190</v>
      </c>
      <c r="G107" s="9">
        <f t="shared" si="24"/>
        <v>190</v>
      </c>
      <c r="H107" s="10"/>
      <c r="I107" s="10">
        <f>38</f>
        <v>38</v>
      </c>
      <c r="J107" s="9">
        <f t="shared" si="26"/>
        <v>38</v>
      </c>
      <c r="K107" s="9">
        <f t="shared" si="25"/>
        <v>20</v>
      </c>
      <c r="M107" s="18"/>
      <c r="S107" s="12"/>
      <c r="T107" s="12"/>
      <c r="U107" s="12"/>
      <c r="V107" s="12"/>
      <c r="W107" s="12"/>
    </row>
    <row r="108" spans="1:23" ht="57.75" customHeight="1">
      <c r="A108" s="34"/>
      <c r="B108" s="11" t="s">
        <v>201</v>
      </c>
      <c r="C108" s="1" t="s">
        <v>202</v>
      </c>
      <c r="D108" s="34"/>
      <c r="E108" s="10"/>
      <c r="F108" s="10">
        <f>67664+6850</f>
        <v>74514</v>
      </c>
      <c r="G108" s="9">
        <f t="shared" si="24"/>
        <v>74514</v>
      </c>
      <c r="H108" s="10"/>
      <c r="I108" s="10">
        <f>319.3+6565.5+1020</f>
        <v>7904.8</v>
      </c>
      <c r="J108" s="9">
        <f t="shared" si="26"/>
        <v>7904.8</v>
      </c>
      <c r="K108" s="9">
        <f t="shared" si="25"/>
        <v>10.608476259494861</v>
      </c>
      <c r="M108" s="18"/>
      <c r="S108" s="12"/>
      <c r="T108" s="12"/>
      <c r="U108" s="12"/>
      <c r="V108" s="12"/>
      <c r="W108" s="12"/>
    </row>
    <row r="109" spans="1:23" ht="61.5" customHeight="1">
      <c r="A109" s="34"/>
      <c r="B109" s="11">
        <v>2818340</v>
      </c>
      <c r="C109" s="1" t="s">
        <v>35</v>
      </c>
      <c r="D109" s="34"/>
      <c r="E109" s="10"/>
      <c r="F109" s="10">
        <f>33077-22384-6850</f>
        <v>3843</v>
      </c>
      <c r="G109" s="9">
        <f t="shared" si="24"/>
        <v>3843</v>
      </c>
      <c r="H109" s="10"/>
      <c r="I109" s="10">
        <f>151.1</f>
        <v>151.1</v>
      </c>
      <c r="J109" s="9">
        <f t="shared" si="26"/>
        <v>151.1</v>
      </c>
      <c r="K109" s="9">
        <f t="shared" si="25"/>
        <v>3.9318240957585218</v>
      </c>
      <c r="M109" s="18"/>
      <c r="S109" s="12"/>
      <c r="T109" s="12"/>
      <c r="U109" s="12"/>
      <c r="V109" s="12"/>
      <c r="W109" s="12"/>
    </row>
    <row r="110" spans="1:23" ht="102" customHeight="1">
      <c r="A110" s="31">
        <v>25</v>
      </c>
      <c r="B110" s="11"/>
      <c r="C110" s="21" t="s">
        <v>111</v>
      </c>
      <c r="D110" s="15" t="s">
        <v>11</v>
      </c>
      <c r="E110" s="9">
        <f>SUM(E111:E115)</f>
        <v>53182.175000000003</v>
      </c>
      <c r="F110" s="9">
        <f>SUM(F111:F115)</f>
        <v>85992.214999999997</v>
      </c>
      <c r="G110" s="9">
        <f t="shared" si="24"/>
        <v>139174.39000000001</v>
      </c>
      <c r="H110" s="9">
        <f>SUM(H111:H115)</f>
        <v>36673.668000000005</v>
      </c>
      <c r="I110" s="9">
        <f>SUM(I111:I115)</f>
        <v>58961.544999999998</v>
      </c>
      <c r="J110" s="9">
        <f t="shared" si="26"/>
        <v>95635.213000000003</v>
      </c>
      <c r="K110" s="9">
        <f t="shared" si="25"/>
        <v>68.716099995121226</v>
      </c>
      <c r="M110" s="18"/>
      <c r="S110" s="12"/>
      <c r="T110" s="12"/>
      <c r="U110" s="12"/>
      <c r="V110" s="12"/>
      <c r="W110" s="12"/>
    </row>
    <row r="111" spans="1:23" ht="71.25" customHeight="1">
      <c r="A111" s="33"/>
      <c r="B111" s="11">
        <v>2918110</v>
      </c>
      <c r="C111" s="10" t="s">
        <v>112</v>
      </c>
      <c r="D111" s="31" t="s">
        <v>23</v>
      </c>
      <c r="E111" s="10">
        <f>5100+540+400</f>
        <v>6040</v>
      </c>
      <c r="F111" s="10">
        <f>400-400</f>
        <v>0</v>
      </c>
      <c r="G111" s="9">
        <f t="shared" ref="G111:G117" si="27">E111+F111</f>
        <v>6040</v>
      </c>
      <c r="H111" s="10">
        <f>3766.08+400+300+502.2+399.9</f>
        <v>5368.1799999999994</v>
      </c>
      <c r="I111" s="10"/>
      <c r="J111" s="9">
        <f t="shared" si="26"/>
        <v>5368.1799999999994</v>
      </c>
      <c r="K111" s="9">
        <f t="shared" ref="K111:K118" si="28">J111/G111*100</f>
        <v>88.877152317880785</v>
      </c>
      <c r="M111" s="18"/>
      <c r="S111" s="12"/>
      <c r="T111" s="12"/>
      <c r="U111" s="12"/>
      <c r="V111" s="12"/>
      <c r="W111" s="12"/>
    </row>
    <row r="112" spans="1:23" ht="67.5" customHeight="1">
      <c r="A112" s="33"/>
      <c r="B112" s="11">
        <v>2918120</v>
      </c>
      <c r="C112" s="10" t="s">
        <v>36</v>
      </c>
      <c r="D112" s="33"/>
      <c r="E112" s="10">
        <v>11200</v>
      </c>
      <c r="F112" s="10">
        <f>400</f>
        <v>400</v>
      </c>
      <c r="G112" s="9">
        <f t="shared" si="27"/>
        <v>11600</v>
      </c>
      <c r="H112" s="10">
        <f>359.5+497.7+281.3+16.2+0.39+430.45+353.4+464.9+420.3+0.9+409.8+437.7+7.5+546.2+99.88+425.783</f>
        <v>4751.9030000000012</v>
      </c>
      <c r="I112" s="10"/>
      <c r="J112" s="9">
        <f t="shared" si="26"/>
        <v>4751.9030000000012</v>
      </c>
      <c r="K112" s="9">
        <f t="shared" si="28"/>
        <v>40.964681034482773</v>
      </c>
      <c r="M112" s="18"/>
      <c r="S112" s="12"/>
      <c r="T112" s="12"/>
      <c r="U112" s="12"/>
      <c r="V112" s="12"/>
      <c r="W112" s="12"/>
    </row>
    <row r="113" spans="1:23" ht="63" customHeight="1">
      <c r="A113" s="33"/>
      <c r="B113" s="11" t="s">
        <v>113</v>
      </c>
      <c r="C113" s="26" t="s">
        <v>30</v>
      </c>
      <c r="D113" s="33"/>
      <c r="E113" s="10">
        <f>1200+3000</f>
        <v>4200</v>
      </c>
      <c r="F113" s="10">
        <f>5000+1500</f>
        <v>6500</v>
      </c>
      <c r="G113" s="9">
        <f t="shared" si="27"/>
        <v>10700</v>
      </c>
      <c r="H113" s="10">
        <f>72+64+398.43+575.76+182</f>
        <v>1292.19</v>
      </c>
      <c r="I113" s="10">
        <f>215.2+337.8+1953.49+272</f>
        <v>2778.49</v>
      </c>
      <c r="J113" s="9">
        <f t="shared" si="26"/>
        <v>4070.68</v>
      </c>
      <c r="K113" s="9">
        <f t="shared" si="28"/>
        <v>38.043738317757011</v>
      </c>
      <c r="M113" s="18"/>
      <c r="S113" s="12"/>
      <c r="T113" s="12"/>
      <c r="U113" s="12"/>
      <c r="V113" s="12"/>
      <c r="W113" s="12"/>
    </row>
    <row r="114" spans="1:23" ht="71.25" customHeight="1">
      <c r="A114" s="33"/>
      <c r="B114" s="23">
        <v>2919800</v>
      </c>
      <c r="C114" s="1" t="s">
        <v>63</v>
      </c>
      <c r="D114" s="32"/>
      <c r="E114" s="10">
        <f>22177.24+1000+1000+664.935+100+6800</f>
        <v>31742.175000000003</v>
      </c>
      <c r="F114" s="10">
        <f>25850+1000+50577.455+555.5-7648-315.5</f>
        <v>70019.455000000002</v>
      </c>
      <c r="G114" s="9">
        <f t="shared" si="27"/>
        <v>101761.63</v>
      </c>
      <c r="H114" s="10">
        <f>372.85+23.8+1745.5+12638.545+17.7+32+9294.5+250+886.5</f>
        <v>25261.395</v>
      </c>
      <c r="I114" s="10">
        <f>1000+22991.455+24736+2346</f>
        <v>51073.455000000002</v>
      </c>
      <c r="J114" s="9">
        <f t="shared" si="26"/>
        <v>76334.850000000006</v>
      </c>
      <c r="K114" s="9">
        <f t="shared" si="28"/>
        <v>75.013391589737708</v>
      </c>
      <c r="M114" s="18"/>
      <c r="S114" s="12"/>
      <c r="T114" s="12"/>
      <c r="U114" s="12"/>
      <c r="V114" s="12"/>
      <c r="W114" s="12"/>
    </row>
    <row r="115" spans="1:23" ht="64.5" customHeight="1">
      <c r="A115" s="32"/>
      <c r="B115" s="23" t="s">
        <v>143</v>
      </c>
      <c r="C115" s="1" t="s">
        <v>144</v>
      </c>
      <c r="D115" s="1" t="s">
        <v>146</v>
      </c>
      <c r="E115" s="10"/>
      <c r="F115" s="10">
        <v>9072.76</v>
      </c>
      <c r="G115" s="9">
        <f t="shared" si="27"/>
        <v>9072.76</v>
      </c>
      <c r="H115" s="10"/>
      <c r="I115" s="10">
        <f>4481.9+627.7</f>
        <v>5109.5999999999995</v>
      </c>
      <c r="J115" s="9">
        <f t="shared" si="26"/>
        <v>5109.5999999999995</v>
      </c>
      <c r="K115" s="9">
        <f t="shared" si="28"/>
        <v>56.318033321723483</v>
      </c>
      <c r="M115" s="18"/>
      <c r="S115" s="12"/>
      <c r="T115" s="12"/>
      <c r="U115" s="12"/>
      <c r="V115" s="12"/>
      <c r="W115" s="12"/>
    </row>
    <row r="116" spans="1:23" ht="99" customHeight="1">
      <c r="A116" s="34">
        <v>26</v>
      </c>
      <c r="B116" s="1"/>
      <c r="C116" s="22" t="s">
        <v>131</v>
      </c>
      <c r="D116" s="15" t="s">
        <v>11</v>
      </c>
      <c r="E116" s="9">
        <f>SUM(E117)</f>
        <v>5000</v>
      </c>
      <c r="F116" s="9">
        <f>SUM(F117)</f>
        <v>0</v>
      </c>
      <c r="G116" s="9">
        <f t="shared" si="27"/>
        <v>5000</v>
      </c>
      <c r="H116" s="9">
        <f>SUM(H117)</f>
        <v>0</v>
      </c>
      <c r="I116" s="9">
        <f>SUM(I117)</f>
        <v>0</v>
      </c>
      <c r="J116" s="9">
        <f t="shared" si="26"/>
        <v>0</v>
      </c>
      <c r="K116" s="9">
        <f t="shared" si="28"/>
        <v>0</v>
      </c>
      <c r="M116" s="18"/>
      <c r="S116" s="12"/>
      <c r="T116" s="12"/>
      <c r="U116" s="12"/>
      <c r="V116" s="12"/>
      <c r="W116" s="12"/>
    </row>
    <row r="117" spans="1:23" ht="60.75" customHeight="1">
      <c r="A117" s="34"/>
      <c r="B117" s="11" t="s">
        <v>132</v>
      </c>
      <c r="C117" s="10" t="s">
        <v>114</v>
      </c>
      <c r="D117" s="1" t="s">
        <v>21</v>
      </c>
      <c r="E117" s="10">
        <v>5000</v>
      </c>
      <c r="F117" s="10">
        <f>2500-2500</f>
        <v>0</v>
      </c>
      <c r="G117" s="9">
        <f t="shared" si="27"/>
        <v>5000</v>
      </c>
      <c r="H117" s="10"/>
      <c r="I117" s="10"/>
      <c r="J117" s="9">
        <f t="shared" si="26"/>
        <v>0</v>
      </c>
      <c r="K117" s="9">
        <f t="shared" si="28"/>
        <v>0</v>
      </c>
      <c r="M117" s="18"/>
      <c r="S117" s="12"/>
      <c r="T117" s="12"/>
      <c r="U117" s="12"/>
      <c r="V117" s="12"/>
      <c r="W117" s="12"/>
    </row>
    <row r="118" spans="1:23" ht="97.5" customHeight="1">
      <c r="A118" s="34">
        <v>27</v>
      </c>
      <c r="B118" s="16"/>
      <c r="C118" s="22" t="s">
        <v>171</v>
      </c>
      <c r="D118" s="15" t="s">
        <v>11</v>
      </c>
      <c r="E118" s="9">
        <f>SUM(E119:E119)</f>
        <v>51300</v>
      </c>
      <c r="F118" s="9">
        <f>SUM(F119:F119)</f>
        <v>0</v>
      </c>
      <c r="G118" s="9">
        <f>SUM(E118+F118)</f>
        <v>51300</v>
      </c>
      <c r="H118" s="9">
        <f>SUM(H119:H119)</f>
        <v>1500</v>
      </c>
      <c r="I118" s="9">
        <f>SUM(I119:I119)</f>
        <v>0</v>
      </c>
      <c r="J118" s="9">
        <f t="shared" si="26"/>
        <v>1500</v>
      </c>
      <c r="K118" s="9">
        <f t="shared" si="28"/>
        <v>2.9239766081871341</v>
      </c>
      <c r="M118" s="18"/>
      <c r="S118" s="12"/>
      <c r="T118" s="12"/>
      <c r="U118" s="12"/>
      <c r="V118" s="12"/>
      <c r="W118" s="12"/>
    </row>
    <row r="119" spans="1:23" ht="63" customHeight="1">
      <c r="A119" s="34"/>
      <c r="B119" s="11" t="s">
        <v>132</v>
      </c>
      <c r="C119" s="10" t="s">
        <v>114</v>
      </c>
      <c r="D119" s="1" t="s">
        <v>21</v>
      </c>
      <c r="E119" s="10">
        <f>12000+1300+38000</f>
        <v>51300</v>
      </c>
      <c r="F119" s="10">
        <f>38000-38000</f>
        <v>0</v>
      </c>
      <c r="G119" s="9">
        <f>+E119+F119</f>
        <v>51300</v>
      </c>
      <c r="H119" s="10">
        <f>1300+200</f>
        <v>1500</v>
      </c>
      <c r="I119" s="10"/>
      <c r="J119" s="9">
        <f>+H119+I119</f>
        <v>1500</v>
      </c>
      <c r="K119" s="9">
        <f>J119/G119*100</f>
        <v>2.9239766081871341</v>
      </c>
      <c r="M119" s="18"/>
      <c r="S119" s="12"/>
      <c r="T119" s="12"/>
      <c r="U119" s="12"/>
      <c r="V119" s="12"/>
      <c r="W119" s="12"/>
    </row>
    <row r="120" spans="1:23" ht="86.25" customHeight="1">
      <c r="A120" s="34">
        <v>28</v>
      </c>
      <c r="B120" s="11"/>
      <c r="C120" s="20" t="s">
        <v>158</v>
      </c>
      <c r="D120" s="15" t="s">
        <v>11</v>
      </c>
      <c r="E120" s="9">
        <f>SUM(E121:E123)</f>
        <v>73718.626000000004</v>
      </c>
      <c r="F120" s="9">
        <f>SUM(F121:F123)</f>
        <v>500</v>
      </c>
      <c r="G120" s="9">
        <f t="shared" ref="G120:G140" si="29">E120+F120</f>
        <v>74218.626000000004</v>
      </c>
      <c r="H120" s="9">
        <f>SUM(H121:H123)</f>
        <v>24765.511000000002</v>
      </c>
      <c r="I120" s="9">
        <f>SUM(I121:I123)</f>
        <v>0</v>
      </c>
      <c r="J120" s="9">
        <f t="shared" ref="J120:J139" si="30">H120+I120</f>
        <v>24765.511000000002</v>
      </c>
      <c r="K120" s="9">
        <f>J120/G120*100</f>
        <v>33.368323202318514</v>
      </c>
      <c r="M120" s="18"/>
      <c r="S120" s="12"/>
      <c r="T120" s="12"/>
      <c r="U120" s="12"/>
      <c r="V120" s="12"/>
      <c r="W120" s="12"/>
    </row>
    <row r="121" spans="1:23" ht="52.5" customHeight="1">
      <c r="A121" s="34"/>
      <c r="B121" s="11" t="s">
        <v>147</v>
      </c>
      <c r="C121" s="26" t="s">
        <v>148</v>
      </c>
      <c r="D121" s="34" t="s">
        <v>149</v>
      </c>
      <c r="E121" s="10">
        <f>8100+4722.5</f>
        <v>12822.5</v>
      </c>
      <c r="F121" s="10"/>
      <c r="G121" s="9">
        <f t="shared" si="29"/>
        <v>12822.5</v>
      </c>
      <c r="H121" s="10">
        <f>3474.9+300.6+947</f>
        <v>4722.5</v>
      </c>
      <c r="I121" s="10"/>
      <c r="J121" s="9">
        <f t="shared" si="30"/>
        <v>4722.5</v>
      </c>
      <c r="K121" s="9">
        <f>J121/G121*100</f>
        <v>36.829791382335735</v>
      </c>
      <c r="M121" s="18"/>
      <c r="S121" s="12"/>
      <c r="T121" s="12"/>
      <c r="U121" s="12"/>
      <c r="V121" s="12"/>
      <c r="W121" s="12"/>
    </row>
    <row r="122" spans="1:23" ht="62.25" customHeight="1">
      <c r="A122" s="34"/>
      <c r="B122" s="11" t="s">
        <v>150</v>
      </c>
      <c r="C122" s="26" t="s">
        <v>145</v>
      </c>
      <c r="D122" s="34"/>
      <c r="E122" s="10">
        <f>10000+10139.466+40050</f>
        <v>60189.466</v>
      </c>
      <c r="F122" s="10"/>
      <c r="G122" s="9">
        <f t="shared" si="29"/>
        <v>60189.466</v>
      </c>
      <c r="H122" s="10">
        <f>3160.2+6979.303+9622.788</f>
        <v>19762.291000000001</v>
      </c>
      <c r="I122" s="10"/>
      <c r="J122" s="9">
        <f t="shared" si="30"/>
        <v>19762.291000000001</v>
      </c>
      <c r="K122" s="9">
        <f>J122/G122*100</f>
        <v>32.833471225679261</v>
      </c>
      <c r="M122" s="18"/>
      <c r="S122" s="12"/>
      <c r="T122" s="12"/>
      <c r="U122" s="12"/>
      <c r="V122" s="12"/>
      <c r="W122" s="12"/>
    </row>
    <row r="123" spans="1:23" ht="60" customHeight="1">
      <c r="A123" s="34"/>
      <c r="B123" s="11" t="s">
        <v>151</v>
      </c>
      <c r="C123" s="1" t="s">
        <v>63</v>
      </c>
      <c r="D123" s="34"/>
      <c r="E123" s="10">
        <f>700+6.66</f>
        <v>706.66</v>
      </c>
      <c r="F123" s="10">
        <v>500</v>
      </c>
      <c r="G123" s="9">
        <f t="shared" si="29"/>
        <v>1206.6599999999999</v>
      </c>
      <c r="H123" s="10">
        <f>15.84+83+6.2+175.68</f>
        <v>280.72000000000003</v>
      </c>
      <c r="I123" s="10">
        <f>175.68-175.68</f>
        <v>0</v>
      </c>
      <c r="J123" s="9">
        <f t="shared" si="30"/>
        <v>280.72000000000003</v>
      </c>
      <c r="K123" s="9">
        <f>J123/G123*100</f>
        <v>23.264216929375305</v>
      </c>
      <c r="M123" s="18"/>
      <c r="S123" s="12"/>
      <c r="T123" s="12"/>
      <c r="U123" s="12"/>
      <c r="V123" s="12"/>
      <c r="W123" s="12"/>
    </row>
    <row r="124" spans="1:23" ht="79.5" customHeight="1">
      <c r="A124" s="34">
        <v>29</v>
      </c>
      <c r="B124" s="11"/>
      <c r="C124" s="21" t="s">
        <v>152</v>
      </c>
      <c r="D124" s="15" t="s">
        <v>11</v>
      </c>
      <c r="E124" s="9">
        <f>SUM(E125:E126)</f>
        <v>6000</v>
      </c>
      <c r="F124" s="9">
        <f>SUM(F125:F126)</f>
        <v>0</v>
      </c>
      <c r="G124" s="9">
        <f t="shared" si="29"/>
        <v>6000</v>
      </c>
      <c r="H124" s="9">
        <f>SUM(H125:H126)</f>
        <v>1500</v>
      </c>
      <c r="I124" s="9">
        <f>SUM(I125:I126)</f>
        <v>0</v>
      </c>
      <c r="J124" s="9">
        <f t="shared" si="30"/>
        <v>1500</v>
      </c>
      <c r="K124" s="9">
        <f t="shared" ref="K124:K139" si="31">J124/G124*100</f>
        <v>25</v>
      </c>
      <c r="M124" s="18"/>
      <c r="S124" s="12"/>
      <c r="T124" s="12"/>
      <c r="U124" s="12"/>
      <c r="V124" s="12"/>
      <c r="W124" s="12"/>
    </row>
    <row r="125" spans="1:23" ht="60" customHeight="1">
      <c r="A125" s="34"/>
      <c r="B125" s="11" t="s">
        <v>153</v>
      </c>
      <c r="C125" s="1" t="s">
        <v>154</v>
      </c>
      <c r="D125" s="34" t="s">
        <v>155</v>
      </c>
      <c r="E125" s="10">
        <v>3000</v>
      </c>
      <c r="F125" s="10"/>
      <c r="G125" s="9">
        <f t="shared" si="29"/>
        <v>3000</v>
      </c>
      <c r="H125" s="10"/>
      <c r="I125" s="10"/>
      <c r="J125" s="9">
        <f t="shared" si="30"/>
        <v>0</v>
      </c>
      <c r="K125" s="9">
        <f t="shared" si="31"/>
        <v>0</v>
      </c>
      <c r="M125" s="18"/>
      <c r="S125" s="12"/>
      <c r="T125" s="12"/>
      <c r="U125" s="12"/>
      <c r="V125" s="12"/>
      <c r="W125" s="12"/>
    </row>
    <row r="126" spans="1:23" ht="62.25" customHeight="1">
      <c r="A126" s="34"/>
      <c r="B126" s="11" t="s">
        <v>156</v>
      </c>
      <c r="C126" s="1" t="s">
        <v>157</v>
      </c>
      <c r="D126" s="34"/>
      <c r="E126" s="10">
        <v>3000</v>
      </c>
      <c r="F126" s="10"/>
      <c r="G126" s="9">
        <f t="shared" si="29"/>
        <v>3000</v>
      </c>
      <c r="H126" s="10">
        <f>300+300+300+300+300</f>
        <v>1500</v>
      </c>
      <c r="I126" s="10"/>
      <c r="J126" s="9">
        <f t="shared" si="30"/>
        <v>1500</v>
      </c>
      <c r="K126" s="9">
        <f t="shared" si="31"/>
        <v>50</v>
      </c>
      <c r="M126" s="18"/>
      <c r="S126" s="12"/>
      <c r="T126" s="12"/>
      <c r="U126" s="12"/>
      <c r="V126" s="12"/>
      <c r="W126" s="12"/>
    </row>
    <row r="127" spans="1:23" ht="76.5" customHeight="1">
      <c r="A127" s="34">
        <v>30</v>
      </c>
      <c r="B127" s="11"/>
      <c r="C127" s="21" t="s">
        <v>172</v>
      </c>
      <c r="D127" s="15" t="s">
        <v>11</v>
      </c>
      <c r="E127" s="9">
        <f>SUM(E128:E136)</f>
        <v>-5.0000000046566129E-3</v>
      </c>
      <c r="F127" s="9">
        <f>SUM(F128:F136)</f>
        <v>165994.69500000001</v>
      </c>
      <c r="G127" s="9">
        <f t="shared" ref="G127:G136" si="32">E127+F127</f>
        <v>165994.69</v>
      </c>
      <c r="H127" s="9">
        <f>SUM(H128:H136)</f>
        <v>0</v>
      </c>
      <c r="I127" s="9">
        <f>SUM(I128:I136)</f>
        <v>31177.3</v>
      </c>
      <c r="J127" s="9">
        <f>H127+I127</f>
        <v>31177.3</v>
      </c>
      <c r="K127" s="9">
        <f>J127/G127*100</f>
        <v>18.78210682522435</v>
      </c>
      <c r="M127" s="18"/>
      <c r="S127" s="12"/>
      <c r="T127" s="12"/>
      <c r="U127" s="12"/>
      <c r="V127" s="12"/>
      <c r="W127" s="12"/>
    </row>
    <row r="128" spans="1:23" ht="58.5" customHeight="1">
      <c r="A128" s="34"/>
      <c r="B128" s="11" t="s">
        <v>72</v>
      </c>
      <c r="C128" s="1" t="s">
        <v>51</v>
      </c>
      <c r="D128" s="34" t="s">
        <v>13</v>
      </c>
      <c r="E128" s="10"/>
      <c r="F128" s="10">
        <f>113792.712+300</f>
        <v>114092.712</v>
      </c>
      <c r="G128" s="9">
        <f t="shared" si="32"/>
        <v>114092.712</v>
      </c>
      <c r="H128" s="9"/>
      <c r="I128" s="10">
        <f>175.7+765.4+1230.1+765.5+132.6+641.8+548.5+1574.2+3312.3+1825.6+4905.8+1014.7+5266.4</f>
        <v>22158.6</v>
      </c>
      <c r="J128" s="9">
        <f t="shared" ref="J128:J134" si="33">H128+I128</f>
        <v>22158.6</v>
      </c>
      <c r="K128" s="9">
        <f t="shared" si="31"/>
        <v>19.421573570799158</v>
      </c>
      <c r="M128" s="18"/>
      <c r="S128" s="12"/>
      <c r="T128" s="12"/>
      <c r="U128" s="12"/>
      <c r="V128" s="12"/>
      <c r="W128" s="12"/>
    </row>
    <row r="129" spans="1:23" ht="61.5" customHeight="1">
      <c r="A129" s="34"/>
      <c r="B129" s="11" t="s">
        <v>180</v>
      </c>
      <c r="C129" s="1" t="s">
        <v>63</v>
      </c>
      <c r="D129" s="34"/>
      <c r="E129" s="10"/>
      <c r="F129" s="10">
        <v>6000</v>
      </c>
      <c r="G129" s="9">
        <f t="shared" si="32"/>
        <v>6000</v>
      </c>
      <c r="H129" s="9"/>
      <c r="I129" s="10">
        <f>87.3+4912.7</f>
        <v>5000</v>
      </c>
      <c r="J129" s="9">
        <f t="shared" si="33"/>
        <v>5000</v>
      </c>
      <c r="K129" s="9">
        <f t="shared" si="31"/>
        <v>83.333333333333343</v>
      </c>
      <c r="M129" s="18"/>
      <c r="S129" s="12"/>
      <c r="T129" s="12"/>
      <c r="U129" s="12"/>
      <c r="V129" s="12"/>
      <c r="W129" s="12"/>
    </row>
    <row r="130" spans="1:23" ht="64.5" customHeight="1">
      <c r="A130" s="34"/>
      <c r="B130" s="11" t="s">
        <v>181</v>
      </c>
      <c r="C130" s="1" t="s">
        <v>186</v>
      </c>
      <c r="D130" s="1" t="s">
        <v>9</v>
      </c>
      <c r="E130" s="10"/>
      <c r="F130" s="10">
        <f>1695+10000</f>
        <v>11695</v>
      </c>
      <c r="G130" s="9">
        <f t="shared" si="32"/>
        <v>11695</v>
      </c>
      <c r="H130" s="9"/>
      <c r="I130" s="10">
        <f>695+161.7</f>
        <v>856.7</v>
      </c>
      <c r="J130" s="9">
        <f t="shared" si="33"/>
        <v>856.7</v>
      </c>
      <c r="K130" s="9">
        <f t="shared" si="31"/>
        <v>7.3253527148353994</v>
      </c>
      <c r="M130" s="18"/>
      <c r="S130" s="12"/>
      <c r="T130" s="12"/>
      <c r="U130" s="12"/>
      <c r="V130" s="12"/>
      <c r="W130" s="12"/>
    </row>
    <row r="131" spans="1:23" ht="64.5" customHeight="1">
      <c r="A131" s="34"/>
      <c r="B131" s="11" t="s">
        <v>182</v>
      </c>
      <c r="C131" s="1" t="s">
        <v>187</v>
      </c>
      <c r="D131" s="1" t="s">
        <v>1</v>
      </c>
      <c r="E131" s="10"/>
      <c r="F131" s="10">
        <v>17441.802</v>
      </c>
      <c r="G131" s="9">
        <f t="shared" si="32"/>
        <v>17441.802</v>
      </c>
      <c r="H131" s="9"/>
      <c r="I131" s="10">
        <f>618.8+647.5+433.8+70.7</f>
        <v>1770.8</v>
      </c>
      <c r="J131" s="9">
        <f t="shared" si="33"/>
        <v>1770.8</v>
      </c>
      <c r="K131" s="9">
        <f t="shared" si="31"/>
        <v>10.152620698251248</v>
      </c>
      <c r="M131" s="18"/>
      <c r="S131" s="12"/>
      <c r="T131" s="12"/>
      <c r="U131" s="12"/>
      <c r="V131" s="12"/>
      <c r="W131" s="12"/>
    </row>
    <row r="132" spans="1:23" ht="60.75" customHeight="1">
      <c r="A132" s="34"/>
      <c r="B132" s="11" t="s">
        <v>183</v>
      </c>
      <c r="C132" s="1" t="s">
        <v>186</v>
      </c>
      <c r="D132" s="34" t="s">
        <v>146</v>
      </c>
      <c r="E132" s="10"/>
      <c r="F132" s="10">
        <v>10765.181</v>
      </c>
      <c r="G132" s="9">
        <f t="shared" si="32"/>
        <v>10765.181</v>
      </c>
      <c r="H132" s="9"/>
      <c r="I132" s="9"/>
      <c r="J132" s="9">
        <f t="shared" si="33"/>
        <v>0</v>
      </c>
      <c r="K132" s="9">
        <f t="shared" si="31"/>
        <v>0</v>
      </c>
      <c r="M132" s="18"/>
      <c r="S132" s="12"/>
      <c r="T132" s="12"/>
      <c r="U132" s="12"/>
      <c r="V132" s="12"/>
      <c r="W132" s="12"/>
    </row>
    <row r="133" spans="1:23" ht="54.75" customHeight="1">
      <c r="A133" s="34"/>
      <c r="B133" s="11" t="s">
        <v>143</v>
      </c>
      <c r="C133" s="1" t="s">
        <v>188</v>
      </c>
      <c r="D133" s="34"/>
      <c r="E133" s="10"/>
      <c r="F133" s="10">
        <v>1500</v>
      </c>
      <c r="G133" s="9">
        <f t="shared" si="32"/>
        <v>1500</v>
      </c>
      <c r="H133" s="9"/>
      <c r="I133" s="10">
        <f>97.9</f>
        <v>97.9</v>
      </c>
      <c r="J133" s="9">
        <f t="shared" si="33"/>
        <v>97.9</v>
      </c>
      <c r="K133" s="9">
        <f t="shared" si="31"/>
        <v>6.5266666666666664</v>
      </c>
      <c r="M133" s="18"/>
      <c r="S133" s="12"/>
      <c r="T133" s="12"/>
      <c r="U133" s="12"/>
      <c r="V133" s="12"/>
      <c r="W133" s="12"/>
    </row>
    <row r="134" spans="1:23" ht="57" customHeight="1">
      <c r="A134" s="34"/>
      <c r="B134" s="11" t="s">
        <v>184</v>
      </c>
      <c r="C134" s="1" t="s">
        <v>32</v>
      </c>
      <c r="D134" s="34"/>
      <c r="E134" s="10"/>
      <c r="F134" s="10">
        <v>1500</v>
      </c>
      <c r="G134" s="9">
        <f t="shared" si="32"/>
        <v>1500</v>
      </c>
      <c r="H134" s="9"/>
      <c r="I134" s="10">
        <f>35.6</f>
        <v>35.6</v>
      </c>
      <c r="J134" s="9">
        <f t="shared" si="33"/>
        <v>35.6</v>
      </c>
      <c r="K134" s="9">
        <f t="shared" si="31"/>
        <v>2.3733333333333335</v>
      </c>
      <c r="M134" s="18"/>
      <c r="S134" s="12"/>
      <c r="T134" s="12"/>
      <c r="U134" s="12"/>
      <c r="V134" s="12"/>
      <c r="W134" s="12"/>
    </row>
    <row r="135" spans="1:23" ht="56.25" customHeight="1">
      <c r="A135" s="34"/>
      <c r="B135" s="11" t="s">
        <v>138</v>
      </c>
      <c r="C135" s="26" t="s">
        <v>30</v>
      </c>
      <c r="D135" s="34" t="s">
        <v>21</v>
      </c>
      <c r="E135" s="10">
        <f>153694.695-153694.7</f>
        <v>-5.0000000046566129E-3</v>
      </c>
      <c r="F135" s="10">
        <f>50.1+949.9</f>
        <v>1000</v>
      </c>
      <c r="G135" s="9">
        <f t="shared" si="32"/>
        <v>999.99499999999534</v>
      </c>
      <c r="H135" s="10"/>
      <c r="I135" s="10">
        <f>49.3+8.1+133.7+621.2+87.7+100</f>
        <v>1000.0000000000001</v>
      </c>
      <c r="J135" s="9">
        <f>H135+I135</f>
        <v>1000.0000000000001</v>
      </c>
      <c r="K135" s="9">
        <f t="shared" si="31"/>
        <v>100.00050000250049</v>
      </c>
      <c r="M135" s="18"/>
      <c r="S135" s="12"/>
      <c r="T135" s="12"/>
      <c r="U135" s="12"/>
      <c r="V135" s="12"/>
      <c r="W135" s="12"/>
    </row>
    <row r="136" spans="1:23" ht="57" customHeight="1">
      <c r="A136" s="34"/>
      <c r="B136" s="11" t="s">
        <v>179</v>
      </c>
      <c r="C136" s="26" t="s">
        <v>185</v>
      </c>
      <c r="D136" s="34"/>
      <c r="E136" s="10"/>
      <c r="F136" s="10">
        <f>2000</f>
        <v>2000</v>
      </c>
      <c r="G136" s="9">
        <f t="shared" si="32"/>
        <v>2000</v>
      </c>
      <c r="H136" s="10"/>
      <c r="I136" s="10">
        <f>257.7</f>
        <v>257.7</v>
      </c>
      <c r="J136" s="9">
        <f>H136+I136</f>
        <v>257.7</v>
      </c>
      <c r="K136" s="9">
        <f t="shared" si="31"/>
        <v>12.885</v>
      </c>
      <c r="M136" s="18"/>
      <c r="S136" s="12"/>
      <c r="T136" s="12"/>
      <c r="U136" s="12"/>
      <c r="V136" s="12"/>
      <c r="W136" s="12"/>
    </row>
    <row r="137" spans="1:23" ht="78.75" customHeight="1">
      <c r="A137" s="34">
        <v>31</v>
      </c>
      <c r="B137" s="11"/>
      <c r="C137" s="22" t="s">
        <v>212</v>
      </c>
      <c r="D137" s="15" t="s">
        <v>11</v>
      </c>
      <c r="E137" s="9">
        <f>SUM(E138:E139)</f>
        <v>67049.804000000004</v>
      </c>
      <c r="F137" s="9">
        <f>SUM(F138:F139)</f>
        <v>181.8</v>
      </c>
      <c r="G137" s="9">
        <f t="shared" si="29"/>
        <v>67231.604000000007</v>
      </c>
      <c r="H137" s="9">
        <f>SUM(H138:H139)</f>
        <v>43453.027000000002</v>
      </c>
      <c r="I137" s="9">
        <f>SUM(I138:I139)</f>
        <v>181.8</v>
      </c>
      <c r="J137" s="9">
        <f t="shared" si="30"/>
        <v>43634.827000000005</v>
      </c>
      <c r="K137" s="9">
        <f t="shared" si="31"/>
        <v>64.902254897860232</v>
      </c>
      <c r="M137" s="18"/>
      <c r="S137" s="12"/>
      <c r="T137" s="12"/>
      <c r="U137" s="12"/>
      <c r="V137" s="12"/>
      <c r="W137" s="12"/>
    </row>
    <row r="138" spans="1:23" ht="65.25" customHeight="1">
      <c r="A138" s="34"/>
      <c r="B138" s="11">
        <v>3719800</v>
      </c>
      <c r="C138" s="31" t="s">
        <v>63</v>
      </c>
      <c r="D138" s="1" t="s">
        <v>24</v>
      </c>
      <c r="E138" s="10">
        <f>60000+229.804+5340</f>
        <v>65569.804000000004</v>
      </c>
      <c r="F138" s="10">
        <f>21.8+160</f>
        <v>181.8</v>
      </c>
      <c r="G138" s="9">
        <f t="shared" si="29"/>
        <v>65751.604000000007</v>
      </c>
      <c r="H138" s="10">
        <f>7862.9+3000+10.3+229.804+7862.9+8562.9+340+7862.9+6241.323</f>
        <v>41973.027000000002</v>
      </c>
      <c r="I138" s="10">
        <f>21.8+160</f>
        <v>181.8</v>
      </c>
      <c r="J138" s="9">
        <f t="shared" si="30"/>
        <v>42154.827000000005</v>
      </c>
      <c r="K138" s="9">
        <f t="shared" si="31"/>
        <v>64.112241277034101</v>
      </c>
      <c r="M138" s="18"/>
      <c r="S138" s="12"/>
      <c r="T138" s="12"/>
      <c r="U138" s="12"/>
      <c r="V138" s="12"/>
      <c r="W138" s="12"/>
    </row>
    <row r="139" spans="1:23" ht="65.25" customHeight="1">
      <c r="A139" s="1"/>
      <c r="B139" s="11" t="s">
        <v>206</v>
      </c>
      <c r="C139" s="32"/>
      <c r="D139" s="1" t="s">
        <v>15</v>
      </c>
      <c r="E139" s="10">
        <v>1480</v>
      </c>
      <c r="F139" s="10"/>
      <c r="G139" s="9">
        <f t="shared" si="29"/>
        <v>1480</v>
      </c>
      <c r="H139" s="10">
        <v>1480</v>
      </c>
      <c r="I139" s="10"/>
      <c r="J139" s="9">
        <f t="shared" si="30"/>
        <v>1480</v>
      </c>
      <c r="K139" s="9">
        <f t="shared" si="31"/>
        <v>100</v>
      </c>
      <c r="M139" s="18"/>
      <c r="S139" s="12"/>
      <c r="T139" s="12"/>
      <c r="U139" s="12"/>
      <c r="V139" s="12"/>
      <c r="W139" s="12"/>
    </row>
    <row r="140" spans="1:23" ht="36" customHeight="1">
      <c r="A140" s="36" t="s">
        <v>214</v>
      </c>
      <c r="B140" s="36"/>
      <c r="C140" s="36"/>
      <c r="D140" s="36"/>
      <c r="E140" s="9">
        <f>E5+E10+E15+E24+E38+E43+E48+E50+E53+E66+E68++E71+E76+E80+E84+E87+E90+E92+E96+E99+E103+E105+E110+E116+E118+E137+E101+E124+E120+E127+E19</f>
        <v>1947778.7000000002</v>
      </c>
      <c r="F140" s="9">
        <f>F5+F10+F15+F24+F38+F43+F48+F50+F53+F66+F68++F71+F76+F80+F84+F87+F90+F92+F96+F99+F103+F105+F110+F116+F118+F137+F101+F124+F120+F127+F19</f>
        <v>786382.71</v>
      </c>
      <c r="G140" s="9">
        <f t="shared" si="29"/>
        <v>2734161.41</v>
      </c>
      <c r="H140" s="9">
        <f>H5+H10+H15+H24+H38+H43+H48+H50+H53+H66+H68++H71+H76+H80+H84+H87+H90+H92+H96+H99+H103+H105+H110+H116+H118+H137+H101+H19+H120+H124+H127</f>
        <v>881371.0909999999</v>
      </c>
      <c r="I140" s="9">
        <f>I5+I10+I15+I24+I38+I43+I48+I50+I53+I66+I68++I71+I76+I80+I84+I87+I90+I92+I96+I99+I103+I105+I110+I116+I118+I137+I101+I19+I120+I124+I127</f>
        <v>171229.94499999995</v>
      </c>
      <c r="J140" s="9">
        <f>H140+I140</f>
        <v>1052601.0359999998</v>
      </c>
      <c r="K140" s="9">
        <f>J140/G140*100</f>
        <v>38.498130803477324</v>
      </c>
      <c r="R140" s="6"/>
      <c r="S140" s="12"/>
      <c r="T140" s="12"/>
      <c r="U140" s="12"/>
      <c r="V140" s="12"/>
      <c r="W140" s="12"/>
    </row>
    <row r="141" spans="1:23">
      <c r="A141" s="2"/>
      <c r="B141" s="7"/>
      <c r="C141" s="4"/>
      <c r="D141" s="2"/>
      <c r="E141" s="2"/>
      <c r="F141" s="2"/>
      <c r="G141" s="2"/>
      <c r="H141" s="2"/>
      <c r="I141" s="2"/>
      <c r="J141" s="2"/>
      <c r="K141" s="2"/>
    </row>
    <row r="142" spans="1:23">
      <c r="A142" s="2"/>
      <c r="B142" s="7"/>
      <c r="C142" s="4"/>
      <c r="D142" s="2"/>
      <c r="E142" s="2"/>
      <c r="F142" s="2"/>
      <c r="G142" s="2"/>
      <c r="H142" s="2"/>
      <c r="I142" s="2"/>
      <c r="J142" s="2"/>
      <c r="K142" s="2"/>
      <c r="N142" s="18"/>
    </row>
    <row r="143" spans="1:23">
      <c r="A143" s="2"/>
      <c r="B143" s="7"/>
      <c r="C143" s="4"/>
      <c r="D143" s="2"/>
      <c r="E143" s="2"/>
      <c r="F143" s="2"/>
      <c r="G143" s="2"/>
      <c r="H143" s="2"/>
      <c r="I143" s="2"/>
      <c r="J143" s="2"/>
      <c r="K143" s="2"/>
    </row>
    <row r="144" spans="1:23">
      <c r="A144" s="2"/>
      <c r="B144" s="7"/>
      <c r="C144" s="4"/>
      <c r="D144" s="2"/>
      <c r="E144" s="19"/>
      <c r="F144" s="17"/>
      <c r="G144" s="17"/>
      <c r="H144" s="2"/>
      <c r="I144" s="2"/>
      <c r="J144" s="2"/>
      <c r="K144" s="2"/>
    </row>
    <row r="145" spans="1:11">
      <c r="A145" s="2"/>
      <c r="B145" s="7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7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7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7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7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7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7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7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7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7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7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7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7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7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7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7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7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7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7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7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7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7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7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7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7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7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7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7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7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7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7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7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7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7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7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7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7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7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7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7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7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7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7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7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7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7"/>
      <c r="C190" s="4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7"/>
      <c r="C191" s="4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7"/>
      <c r="C192" s="4"/>
      <c r="D192" s="2"/>
      <c r="E192" s="2"/>
      <c r="F192" s="2"/>
      <c r="G192" s="2"/>
      <c r="H192" s="2"/>
      <c r="I192" s="2"/>
      <c r="J192" s="2"/>
      <c r="K192" s="2"/>
    </row>
  </sheetData>
  <mergeCells count="65">
    <mergeCell ref="D81:D83"/>
    <mergeCell ref="A80:A83"/>
    <mergeCell ref="D77:D79"/>
    <mergeCell ref="D44:D46"/>
    <mergeCell ref="A101:A102"/>
    <mergeCell ref="A87:A89"/>
    <mergeCell ref="A90:A91"/>
    <mergeCell ref="A84:A86"/>
    <mergeCell ref="A92:A95"/>
    <mergeCell ref="D97:D98"/>
    <mergeCell ref="D93:D95"/>
    <mergeCell ref="A96:A98"/>
    <mergeCell ref="D85:D86"/>
    <mergeCell ref="A1:J1"/>
    <mergeCell ref="D2:E2"/>
    <mergeCell ref="A71:A75"/>
    <mergeCell ref="A48:A49"/>
    <mergeCell ref="A50:A52"/>
    <mergeCell ref="D54:D64"/>
    <mergeCell ref="A66:A67"/>
    <mergeCell ref="D12:D14"/>
    <mergeCell ref="E3:G3"/>
    <mergeCell ref="A15:A18"/>
    <mergeCell ref="A140:D140"/>
    <mergeCell ref="D8:D9"/>
    <mergeCell ref="A76:A79"/>
    <mergeCell ref="A19:A23"/>
    <mergeCell ref="D51:D52"/>
    <mergeCell ref="D21:D22"/>
    <mergeCell ref="D25:D36"/>
    <mergeCell ref="D72:D73"/>
    <mergeCell ref="D16:D18"/>
    <mergeCell ref="D39:D42"/>
    <mergeCell ref="A127:A136"/>
    <mergeCell ref="A137:A138"/>
    <mergeCell ref="A5:A9"/>
    <mergeCell ref="A10:A14"/>
    <mergeCell ref="A38:A42"/>
    <mergeCell ref="D88:D89"/>
    <mergeCell ref="A53:A64"/>
    <mergeCell ref="A24:A35"/>
    <mergeCell ref="A68:A70"/>
    <mergeCell ref="A43:A47"/>
    <mergeCell ref="A105:A109"/>
    <mergeCell ref="D125:D126"/>
    <mergeCell ref="A124:A126"/>
    <mergeCell ref="A120:A123"/>
    <mergeCell ref="D121:D123"/>
    <mergeCell ref="A118:A119"/>
    <mergeCell ref="B3:B4"/>
    <mergeCell ref="A3:A4"/>
    <mergeCell ref="C3:C4"/>
    <mergeCell ref="D3:D4"/>
    <mergeCell ref="H3:J3"/>
    <mergeCell ref="K3:K4"/>
    <mergeCell ref="C138:C139"/>
    <mergeCell ref="D111:D114"/>
    <mergeCell ref="A116:A117"/>
    <mergeCell ref="A99:A100"/>
    <mergeCell ref="A103:A104"/>
    <mergeCell ref="D135:D136"/>
    <mergeCell ref="D128:D129"/>
    <mergeCell ref="A110:A115"/>
    <mergeCell ref="D132:D134"/>
    <mergeCell ref="D106:D109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lyudmyla</cp:lastModifiedBy>
  <cp:lastPrinted>2023-06-16T08:15:19Z</cp:lastPrinted>
  <dcterms:created xsi:type="dcterms:W3CDTF">2019-01-30T14:30:49Z</dcterms:created>
  <dcterms:modified xsi:type="dcterms:W3CDTF">2023-06-23T13:53:54Z</dcterms:modified>
</cp:coreProperties>
</file>