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735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Лист1!$A$1:$K$143</definedName>
  </definedNames>
  <calcPr calcId="124519"/>
</workbook>
</file>

<file path=xl/calcChain.xml><?xml version="1.0" encoding="utf-8"?>
<calcChain xmlns="http://schemas.openxmlformats.org/spreadsheetml/2006/main">
  <c r="I63" i="4"/>
  <c r="I139"/>
  <c r="I138"/>
  <c r="I134"/>
  <c r="I130"/>
  <c r="H127"/>
  <c r="I115"/>
  <c r="H114"/>
  <c r="I110"/>
  <c r="I109"/>
  <c r="H106"/>
  <c r="J106" s="1"/>
  <c r="F102"/>
  <c r="F101" s="1"/>
  <c r="H104"/>
  <c r="J104" s="1"/>
  <c r="H99"/>
  <c r="H98" s="1"/>
  <c r="H95"/>
  <c r="J95" s="1"/>
  <c r="H93"/>
  <c r="H92" s="1"/>
  <c r="H91"/>
  <c r="H89"/>
  <c r="J89" s="1"/>
  <c r="I78"/>
  <c r="I76"/>
  <c r="H67"/>
  <c r="H66" s="1"/>
  <c r="H55"/>
  <c r="I51"/>
  <c r="H51"/>
  <c r="H50" s="1"/>
  <c r="E44"/>
  <c r="G44" s="1"/>
  <c r="H45"/>
  <c r="H44"/>
  <c r="H41"/>
  <c r="H40"/>
  <c r="J40" s="1"/>
  <c r="F36"/>
  <c r="F34"/>
  <c r="I34"/>
  <c r="H34"/>
  <c r="H26"/>
  <c r="H25"/>
  <c r="I17"/>
  <c r="H17"/>
  <c r="H16"/>
  <c r="H14"/>
  <c r="H13"/>
  <c r="J13" s="1"/>
  <c r="H11"/>
  <c r="I8"/>
  <c r="H121"/>
  <c r="J121" s="1"/>
  <c r="I132"/>
  <c r="H128"/>
  <c r="J128" s="1"/>
  <c r="H113"/>
  <c r="J113" s="1"/>
  <c r="I87"/>
  <c r="J87" s="1"/>
  <c r="H74"/>
  <c r="H71" s="1"/>
  <c r="H58"/>
  <c r="J58" s="1"/>
  <c r="H57"/>
  <c r="J57" s="1"/>
  <c r="H56"/>
  <c r="J56" s="1"/>
  <c r="I55"/>
  <c r="I54"/>
  <c r="I49"/>
  <c r="J49" s="1"/>
  <c r="H33"/>
  <c r="H32"/>
  <c r="H31"/>
  <c r="J31" s="1"/>
  <c r="H30"/>
  <c r="J30" s="1"/>
  <c r="H29"/>
  <c r="J29" s="1"/>
  <c r="H28"/>
  <c r="J28" s="1"/>
  <c r="H27"/>
  <c r="J27" s="1"/>
  <c r="I25"/>
  <c r="H9"/>
  <c r="J9" s="1"/>
  <c r="H7"/>
  <c r="J90"/>
  <c r="K90" s="1"/>
  <c r="G90"/>
  <c r="E91"/>
  <c r="F89"/>
  <c r="E89"/>
  <c r="E88" s="1"/>
  <c r="H141"/>
  <c r="H140" s="1"/>
  <c r="I136"/>
  <c r="I131"/>
  <c r="J131" s="1"/>
  <c r="I116"/>
  <c r="H116"/>
  <c r="H108"/>
  <c r="H107" s="1"/>
  <c r="I84"/>
  <c r="J84" s="1"/>
  <c r="H83"/>
  <c r="H81" s="1"/>
  <c r="I72"/>
  <c r="H46"/>
  <c r="J46" s="1"/>
  <c r="H20"/>
  <c r="H18"/>
  <c r="J18" s="1"/>
  <c r="I141"/>
  <c r="J141" s="1"/>
  <c r="E141"/>
  <c r="G141" s="1"/>
  <c r="F141"/>
  <c r="I114"/>
  <c r="I91"/>
  <c r="I88" s="1"/>
  <c r="I73"/>
  <c r="J73" s="1"/>
  <c r="H35"/>
  <c r="J35" s="1"/>
  <c r="J16"/>
  <c r="E18"/>
  <c r="G18" s="1"/>
  <c r="F17"/>
  <c r="F15" s="1"/>
  <c r="E17"/>
  <c r="I5"/>
  <c r="H6"/>
  <c r="F139"/>
  <c r="G139" s="1"/>
  <c r="F138"/>
  <c r="F137"/>
  <c r="F136"/>
  <c r="G136" s="1"/>
  <c r="J134"/>
  <c r="F134"/>
  <c r="F133"/>
  <c r="G133" s="1"/>
  <c r="K133" s="1"/>
  <c r="F131"/>
  <c r="G131" s="1"/>
  <c r="F130"/>
  <c r="J133"/>
  <c r="H125"/>
  <c r="F125"/>
  <c r="F122" s="1"/>
  <c r="E125"/>
  <c r="E124"/>
  <c r="G124" s="1"/>
  <c r="E123"/>
  <c r="G123" s="1"/>
  <c r="H115"/>
  <c r="J115" s="1"/>
  <c r="F116"/>
  <c r="E116"/>
  <c r="F115"/>
  <c r="E115"/>
  <c r="E113"/>
  <c r="E104"/>
  <c r="G104" s="1"/>
  <c r="E102"/>
  <c r="E99"/>
  <c r="G99" s="1"/>
  <c r="H97"/>
  <c r="E95"/>
  <c r="G95" s="1"/>
  <c r="F87"/>
  <c r="F86"/>
  <c r="F84"/>
  <c r="G84" s="1"/>
  <c r="I79"/>
  <c r="J76"/>
  <c r="F76"/>
  <c r="G76" s="1"/>
  <c r="F75"/>
  <c r="G75" s="1"/>
  <c r="E74"/>
  <c r="E71" s="1"/>
  <c r="G73"/>
  <c r="H64"/>
  <c r="J64" s="1"/>
  <c r="H54"/>
  <c r="F63"/>
  <c r="G63" s="1"/>
  <c r="E58"/>
  <c r="G58" s="1"/>
  <c r="E56"/>
  <c r="G56" s="1"/>
  <c r="F52"/>
  <c r="F51"/>
  <c r="F50" s="1"/>
  <c r="E51"/>
  <c r="H39"/>
  <c r="E41"/>
  <c r="E39"/>
  <c r="G39" s="1"/>
  <c r="E34"/>
  <c r="E33"/>
  <c r="F31"/>
  <c r="E31"/>
  <c r="E29"/>
  <c r="G29" s="1"/>
  <c r="F26"/>
  <c r="E26"/>
  <c r="F25"/>
  <c r="E25"/>
  <c r="E14"/>
  <c r="G14" s="1"/>
  <c r="E13"/>
  <c r="E9"/>
  <c r="G9" s="1"/>
  <c r="F111"/>
  <c r="F110"/>
  <c r="E106"/>
  <c r="I85"/>
  <c r="H59"/>
  <c r="J59" s="1"/>
  <c r="H23"/>
  <c r="J23" s="1"/>
  <c r="E121"/>
  <c r="H62"/>
  <c r="J62" s="1"/>
  <c r="K62" s="1"/>
  <c r="H60"/>
  <c r="J60" s="1"/>
  <c r="I111"/>
  <c r="J111" s="1"/>
  <c r="H22"/>
  <c r="I82"/>
  <c r="J82" s="1"/>
  <c r="K82" s="1"/>
  <c r="J97"/>
  <c r="F91"/>
  <c r="I125"/>
  <c r="H124"/>
  <c r="I122"/>
  <c r="E28"/>
  <c r="G28" s="1"/>
  <c r="H123"/>
  <c r="J75"/>
  <c r="I32"/>
  <c r="F43"/>
  <c r="G46"/>
  <c r="I137"/>
  <c r="I117"/>
  <c r="J117" s="1"/>
  <c r="F78"/>
  <c r="E78"/>
  <c r="G78" s="1"/>
  <c r="F79"/>
  <c r="H61"/>
  <c r="F114"/>
  <c r="I100"/>
  <c r="J100" s="1"/>
  <c r="I83"/>
  <c r="F82"/>
  <c r="F74"/>
  <c r="G74" s="1"/>
  <c r="J37"/>
  <c r="E37"/>
  <c r="G37" s="1"/>
  <c r="E7"/>
  <c r="G7" s="1"/>
  <c r="J109"/>
  <c r="E52"/>
  <c r="E20"/>
  <c r="E22"/>
  <c r="G22" s="1"/>
  <c r="K22" s="1"/>
  <c r="E23"/>
  <c r="G23" s="1"/>
  <c r="G21"/>
  <c r="J21"/>
  <c r="I50"/>
  <c r="I140"/>
  <c r="J142"/>
  <c r="G142"/>
  <c r="K142" s="1"/>
  <c r="F113"/>
  <c r="F65"/>
  <c r="G65" s="1"/>
  <c r="E54"/>
  <c r="E55"/>
  <c r="G55" s="1"/>
  <c r="E59"/>
  <c r="G59" s="1"/>
  <c r="E60"/>
  <c r="E61"/>
  <c r="E64"/>
  <c r="G64" s="1"/>
  <c r="J65"/>
  <c r="I26"/>
  <c r="I33"/>
  <c r="J36"/>
  <c r="F27"/>
  <c r="F33"/>
  <c r="E32"/>
  <c r="I10"/>
  <c r="J12"/>
  <c r="I19"/>
  <c r="J22"/>
  <c r="I38"/>
  <c r="J42"/>
  <c r="I43"/>
  <c r="J47"/>
  <c r="H48"/>
  <c r="J52"/>
  <c r="J61"/>
  <c r="J63"/>
  <c r="I66"/>
  <c r="H68"/>
  <c r="I68"/>
  <c r="J69"/>
  <c r="J70"/>
  <c r="K70" s="1"/>
  <c r="H77"/>
  <c r="J80"/>
  <c r="H85"/>
  <c r="J86"/>
  <c r="I92"/>
  <c r="I96"/>
  <c r="J96" s="1"/>
  <c r="H102"/>
  <c r="H101" s="1"/>
  <c r="J101" s="1"/>
  <c r="I101"/>
  <c r="I103"/>
  <c r="I105"/>
  <c r="H118"/>
  <c r="I118"/>
  <c r="J118"/>
  <c r="J119"/>
  <c r="H120"/>
  <c r="I120"/>
  <c r="J124"/>
  <c r="I126"/>
  <c r="H129"/>
  <c r="J132"/>
  <c r="J135"/>
  <c r="J136"/>
  <c r="J137"/>
  <c r="F109"/>
  <c r="F107"/>
  <c r="G107" s="1"/>
  <c r="E107"/>
  <c r="G110"/>
  <c r="F5"/>
  <c r="F10"/>
  <c r="E16"/>
  <c r="F38"/>
  <c r="E66"/>
  <c r="G66" s="1"/>
  <c r="F66"/>
  <c r="E94"/>
  <c r="F94"/>
  <c r="F103"/>
  <c r="E138"/>
  <c r="E129"/>
  <c r="F132"/>
  <c r="G132" s="1"/>
  <c r="G138"/>
  <c r="E81"/>
  <c r="E126"/>
  <c r="G126" s="1"/>
  <c r="F126"/>
  <c r="F98"/>
  <c r="F19"/>
  <c r="E105"/>
  <c r="G105" s="1"/>
  <c r="F105"/>
  <c r="E85"/>
  <c r="E48"/>
  <c r="F48"/>
  <c r="E68"/>
  <c r="F68"/>
  <c r="E92"/>
  <c r="F92"/>
  <c r="E118"/>
  <c r="F119"/>
  <c r="F118" s="1"/>
  <c r="E120"/>
  <c r="F121"/>
  <c r="G121" s="1"/>
  <c r="G60"/>
  <c r="G61"/>
  <c r="G135"/>
  <c r="G137"/>
  <c r="G134"/>
  <c r="G96"/>
  <c r="G117"/>
  <c r="G69"/>
  <c r="G8"/>
  <c r="G6"/>
  <c r="G12"/>
  <c r="G11"/>
  <c r="G26"/>
  <c r="G27"/>
  <c r="G30"/>
  <c r="G32"/>
  <c r="G35"/>
  <c r="G16"/>
  <c r="G127"/>
  <c r="G128"/>
  <c r="G47"/>
  <c r="G80"/>
  <c r="G97"/>
  <c r="G83"/>
  <c r="G93"/>
  <c r="G70"/>
  <c r="G86"/>
  <c r="K86" s="1"/>
  <c r="G100"/>
  <c r="G62"/>
  <c r="G57"/>
  <c r="G49"/>
  <c r="G45"/>
  <c r="G42"/>
  <c r="K42" s="1"/>
  <c r="G41"/>
  <c r="G40"/>
  <c r="G111"/>
  <c r="G108"/>
  <c r="G114"/>
  <c r="G67"/>
  <c r="G52"/>
  <c r="K52" s="1"/>
  <c r="G82"/>
  <c r="G79"/>
  <c r="J83"/>
  <c r="J7"/>
  <c r="E77"/>
  <c r="K12"/>
  <c r="G54"/>
  <c r="G20"/>
  <c r="J123"/>
  <c r="G106"/>
  <c r="G119"/>
  <c r="K119" s="1"/>
  <c r="K47"/>
  <c r="G72"/>
  <c r="G109"/>
  <c r="I94"/>
  <c r="K109"/>
  <c r="J79"/>
  <c r="K79" s="1"/>
  <c r="K137" l="1"/>
  <c r="G68"/>
  <c r="E5"/>
  <c r="K21"/>
  <c r="F77"/>
  <c r="F88"/>
  <c r="J66"/>
  <c r="K80"/>
  <c r="G88"/>
  <c r="K135"/>
  <c r="K111"/>
  <c r="K61"/>
  <c r="F85"/>
  <c r="G85" s="1"/>
  <c r="G33"/>
  <c r="K23"/>
  <c r="K59"/>
  <c r="K73"/>
  <c r="E50"/>
  <c r="K37"/>
  <c r="K97"/>
  <c r="H19"/>
  <c r="J19" s="1"/>
  <c r="K100"/>
  <c r="E140"/>
  <c r="K117"/>
  <c r="G118"/>
  <c r="K118" s="1"/>
  <c r="G94"/>
  <c r="J102"/>
  <c r="I98"/>
  <c r="K65"/>
  <c r="E19"/>
  <c r="G19" s="1"/>
  <c r="J54"/>
  <c r="K75"/>
  <c r="G116"/>
  <c r="K124"/>
  <c r="I81"/>
  <c r="F120"/>
  <c r="G120" s="1"/>
  <c r="G77"/>
  <c r="K83"/>
  <c r="K69"/>
  <c r="K60"/>
  <c r="G92"/>
  <c r="G48"/>
  <c r="J68"/>
  <c r="G51"/>
  <c r="G91"/>
  <c r="J33"/>
  <c r="J139"/>
  <c r="J138"/>
  <c r="J130"/>
  <c r="J110"/>
  <c r="K110" s="1"/>
  <c r="H94"/>
  <c r="J78"/>
  <c r="K78" s="1"/>
  <c r="J55"/>
  <c r="J50"/>
  <c r="J44"/>
  <c r="J41"/>
  <c r="G36"/>
  <c r="K36" s="1"/>
  <c r="J26"/>
  <c r="I15"/>
  <c r="J14"/>
  <c r="J11"/>
  <c r="K11" s="1"/>
  <c r="K121"/>
  <c r="J120"/>
  <c r="K120" s="1"/>
  <c r="K132"/>
  <c r="H126"/>
  <c r="K128"/>
  <c r="H112"/>
  <c r="H105"/>
  <c r="J85"/>
  <c r="I53"/>
  <c r="K7"/>
  <c r="K136"/>
  <c r="J116"/>
  <c r="J108"/>
  <c r="K108" s="1"/>
  <c r="K84"/>
  <c r="J81"/>
  <c r="K63"/>
  <c r="K46"/>
  <c r="J34"/>
  <c r="K30"/>
  <c r="J20"/>
  <c r="H5"/>
  <c r="K9"/>
  <c r="J140"/>
  <c r="J127"/>
  <c r="J98"/>
  <c r="J99"/>
  <c r="K99" s="1"/>
  <c r="J92"/>
  <c r="K92" s="1"/>
  <c r="J93"/>
  <c r="K93" s="1"/>
  <c r="H88"/>
  <c r="J67"/>
  <c r="H43"/>
  <c r="K40"/>
  <c r="K35"/>
  <c r="I24"/>
  <c r="K26"/>
  <c r="K18"/>
  <c r="J17"/>
  <c r="K16"/>
  <c r="E15"/>
  <c r="G15" s="1"/>
  <c r="J8"/>
  <c r="J5"/>
  <c r="J6"/>
  <c r="K141"/>
  <c r="I129"/>
  <c r="K134"/>
  <c r="F129"/>
  <c r="G129" s="1"/>
  <c r="G130"/>
  <c r="J125"/>
  <c r="H122"/>
  <c r="J122" s="1"/>
  <c r="G125"/>
  <c r="E122"/>
  <c r="G122" s="1"/>
  <c r="I112"/>
  <c r="J114"/>
  <c r="K114" s="1"/>
  <c r="F112"/>
  <c r="G115"/>
  <c r="K115" s="1"/>
  <c r="E112"/>
  <c r="G113"/>
  <c r="K113" s="1"/>
  <c r="I107"/>
  <c r="K106"/>
  <c r="H103"/>
  <c r="K104"/>
  <c r="E103"/>
  <c r="G103" s="1"/>
  <c r="G102"/>
  <c r="K102" s="1"/>
  <c r="E101"/>
  <c r="G101" s="1"/>
  <c r="K101" s="1"/>
  <c r="K95"/>
  <c r="J91"/>
  <c r="G89"/>
  <c r="K89" s="1"/>
  <c r="G87"/>
  <c r="K87" s="1"/>
  <c r="F81"/>
  <c r="G81" s="1"/>
  <c r="I77"/>
  <c r="K76"/>
  <c r="J74"/>
  <c r="I71"/>
  <c r="J72"/>
  <c r="F71"/>
  <c r="G71" s="1"/>
  <c r="K66"/>
  <c r="K64"/>
  <c r="K58"/>
  <c r="K57"/>
  <c r="K54"/>
  <c r="H53"/>
  <c r="F53"/>
  <c r="K56"/>
  <c r="E53"/>
  <c r="J51"/>
  <c r="G50"/>
  <c r="K49"/>
  <c r="I48"/>
  <c r="J48" s="1"/>
  <c r="J45"/>
  <c r="E43"/>
  <c r="G43" s="1"/>
  <c r="H38"/>
  <c r="J39"/>
  <c r="E38"/>
  <c r="G38" s="1"/>
  <c r="K33"/>
  <c r="J32"/>
  <c r="K32" s="1"/>
  <c r="K29"/>
  <c r="K27"/>
  <c r="H24"/>
  <c r="J25"/>
  <c r="G34"/>
  <c r="G31"/>
  <c r="K31" s="1"/>
  <c r="F24"/>
  <c r="E24"/>
  <c r="G25"/>
  <c r="K19"/>
  <c r="H15"/>
  <c r="G17"/>
  <c r="H10"/>
  <c r="E10"/>
  <c r="G10" s="1"/>
  <c r="G13"/>
  <c r="K13" s="1"/>
  <c r="K96"/>
  <c r="K138"/>
  <c r="K81"/>
  <c r="K28"/>
  <c r="K68"/>
  <c r="K131"/>
  <c r="G5"/>
  <c r="K85"/>
  <c r="E98"/>
  <c r="G98" s="1"/>
  <c r="K98" s="1"/>
  <c r="F140"/>
  <c r="G140" s="1"/>
  <c r="K123"/>
  <c r="G53" l="1"/>
  <c r="K139"/>
  <c r="J129"/>
  <c r="K130"/>
  <c r="J126"/>
  <c r="J107"/>
  <c r="K107" s="1"/>
  <c r="J105"/>
  <c r="K105" s="1"/>
  <c r="J103"/>
  <c r="K103" s="1"/>
  <c r="J94"/>
  <c r="J88"/>
  <c r="J77"/>
  <c r="J71"/>
  <c r="K55"/>
  <c r="K50"/>
  <c r="J43"/>
  <c r="K44"/>
  <c r="K41"/>
  <c r="J38"/>
  <c r="J15"/>
  <c r="K14"/>
  <c r="J10"/>
  <c r="K10" s="1"/>
  <c r="J112"/>
  <c r="K67"/>
  <c r="J53"/>
  <c r="K5"/>
  <c r="K116"/>
  <c r="K34"/>
  <c r="K20"/>
  <c r="K140"/>
  <c r="K127"/>
  <c r="J24"/>
  <c r="K17"/>
  <c r="K8"/>
  <c r="K6"/>
  <c r="K125"/>
  <c r="K122"/>
  <c r="G112"/>
  <c r="K91"/>
  <c r="K77"/>
  <c r="I143"/>
  <c r="K74"/>
  <c r="K72"/>
  <c r="F143"/>
  <c r="K51"/>
  <c r="K48"/>
  <c r="K45"/>
  <c r="K39"/>
  <c r="K25"/>
  <c r="G24"/>
  <c r="H143"/>
  <c r="E143"/>
  <c r="K129" l="1"/>
  <c r="K126"/>
  <c r="K94"/>
  <c r="K88"/>
  <c r="K71"/>
  <c r="K43"/>
  <c r="K38"/>
  <c r="K15"/>
  <c r="K112"/>
  <c r="K53"/>
  <c r="K24"/>
  <c r="J143"/>
  <c r="G143"/>
  <c r="K143" l="1"/>
</calcChain>
</file>

<file path=xl/sharedStrings.xml><?xml version="1.0" encoding="utf-8"?>
<sst xmlns="http://schemas.openxmlformats.org/spreadsheetml/2006/main" count="329" uniqueCount="218">
  <si>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</si>
  <si>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</si>
  <si>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</si>
  <si>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</si>
  <si>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</si>
  <si>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</si>
  <si>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</si>
  <si>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</si>
  <si>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</si>
  <si>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</si>
  <si>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</si>
  <si>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</si>
  <si>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</si>
  <si>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</si>
  <si>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</si>
  <si>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</si>
  <si>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</si>
  <si>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</si>
  <si>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</si>
  <si>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</si>
  <si>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</si>
  <si>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</si>
  <si>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</si>
  <si>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</si>
  <si>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</si>
  <si>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</si>
  <si>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</si>
  <si>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</si>
  <si>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</si>
  <si>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</si>
  <si>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</si>
  <si>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</si>
  <si>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</si>
  <si>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</si>
  <si>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</si>
  <si>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</si>
  <si>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</si>
  <si>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</si>
  <si>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</si>
  <si>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</si>
  <si>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</si>
  <si>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</si>
  <si>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</si>
  <si>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</si>
  <si>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</si>
  <si>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</si>
  <si>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</si>
  <si>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</si>
  <si>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</si>
  <si>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</si>
  <si>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</si>
  <si>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</si>
  <si>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</si>
  <si>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</si>
  <si>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</si>
  <si>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</si>
  <si>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</si>
  <si>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</si>
  <si>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</si>
  <si>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</si>
  <si>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</si>
  <si>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</si>
  <si>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</si>
  <si>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</si>
  <si>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</si>
  <si>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</si>
  <si>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</si>
  <si>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</si>
  <si>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</si>
  <si>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</si>
  <si>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</si>
  <si>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</si>
  <si>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</si>
  <si>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</si>
  <si>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</si>
  <si>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</si>
  <si>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</si>
  <si>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</si>
  <si>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</si>
  <si>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</si>
  <si>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</si>
  <si>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</si>
  <si>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</si>
  <si>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</si>
  <si>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</si>
  <si>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</si>
  <si>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</si>
  <si>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</si>
  <si>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</si>
  <si>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</si>
  <si>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</si>
  <si>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</si>
  <si>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</si>
  <si>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</si>
  <si>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</si>
  <si>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</si>
  <si>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</si>
  <si>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</si>
  <si>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</si>
  <si>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</si>
  <si>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</si>
  <si>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</si>
  <si>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</si>
  <si>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</si>
  <si>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</si>
  <si>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</si>
  <si>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</si>
  <si>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</si>
  <si>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</si>
  <si>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</si>
  <si>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</si>
  <si>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</si>
  <si>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</si>
  <si>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</si>
  <si>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</si>
  <si>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</si>
  <si>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</si>
  <si>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</si>
  <si>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</si>
  <si>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</si>
  <si>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</si>
  <si>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</si>
  <si>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</si>
  <si>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</si>
  <si>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</si>
  <si>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</si>
  <si>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</si>
  <si>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</si>
  <si>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</si>
  <si>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</si>
  <si>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</si>
  <si>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</si>
  <si>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1113131</t>
  </si>
  <si>
    <t>2418861</t>
  </si>
  <si>
    <t>Надання бюджетних позичок суб'єктам господарювання</t>
  </si>
  <si>
    <t>1614082</t>
  </si>
  <si>
    <t>тис. грн</t>
  </si>
  <si>
    <t>2719770</t>
  </si>
  <si>
    <t>Відсоток фінансування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</si>
  <si>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</si>
  <si>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</si>
  <si>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</si>
  <si>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</si>
  <si>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</si>
  <si>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 xml:space="preserve">Інші субвенції з місцевого бюджету               </t>
  </si>
  <si>
    <t>Управління капітального будівництва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</si>
  <si>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</si>
  <si>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</si>
  <si>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</si>
  <si>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</si>
  <si>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</si>
  <si>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</si>
  <si>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</si>
  <si>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</si>
  <si>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</si>
  <si>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</si>
  <si>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Регіональна програма інформатизації "Цифрова Львівщина" на 2022-2024 роки</t>
  </si>
  <si>
    <t xml:space="preserve">Програма відновлення, збереження національної пам'яті та протокольних заходів на 2021-2025 роки                                                                       </t>
  </si>
  <si>
    <t>0719770</t>
  </si>
  <si>
    <t>Програма виконання судових рішень та виконавчих документів на 2022-2025 роки</t>
  </si>
  <si>
    <t>1317693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</si>
  <si>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</si>
  <si>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</si>
  <si>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</si>
  <si>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</si>
  <si>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1319770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</si>
  <si>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</si>
  <si>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</si>
  <si>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</si>
  <si>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підтримки бізнесу у Львівській області на період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</si>
  <si>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</si>
  <si>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2023 році</t>
  </si>
  <si>
    <t>Департамент дорожнього господарства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</si>
  <si>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</si>
  <si>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</si>
  <si>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2419770</t>
  </si>
  <si>
    <t>0717640</t>
  </si>
  <si>
    <t>2719720</t>
  </si>
  <si>
    <t>0619800</t>
  </si>
  <si>
    <t>0717322</t>
  </si>
  <si>
    <t>0817323</t>
  </si>
  <si>
    <t>1517322</t>
  </si>
  <si>
    <t>1517340</t>
  </si>
  <si>
    <t>Субвенція з місцевого бюджету на виконання інвестиційних проектів</t>
  </si>
  <si>
    <t xml:space="preserve"> Будівництво медичних установ та закладів</t>
  </si>
  <si>
    <t>Будівництво установ та закладів соціальної сфери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</si>
  <si>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</si>
  <si>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розвитку фізичної  культури та  спорту  Львівщини на    2021-2025 роки</t>
  </si>
  <si>
    <t>1115031</t>
  </si>
  <si>
    <t>1115032</t>
  </si>
  <si>
    <t>1115033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</si>
  <si>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</si>
  <si>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</si>
  <si>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</si>
  <si>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0619770</t>
  </si>
  <si>
    <t>Комплексна програма посилення державотворчої й консолідаційної ролі української мови у Львівській області на 2023-2026 роки</t>
  </si>
  <si>
    <t>1119770</t>
  </si>
  <si>
    <t>2819800</t>
  </si>
  <si>
    <t>2819740</t>
  </si>
  <si>
    <t>Субвенція з місцевого бюджету на здійснення природоохоронних заходів</t>
  </si>
  <si>
    <t>0719800</t>
  </si>
  <si>
    <t>1019770</t>
  </si>
  <si>
    <t>1119800</t>
  </si>
  <si>
    <t>0219800</t>
  </si>
  <si>
    <t xml:space="preserve"> Інші заходи, пов'язані з економічною діяльністю</t>
  </si>
  <si>
    <t>1619720</t>
  </si>
  <si>
    <t>Інші субвенції з місцевого бюджету (житло для АТО)</t>
  </si>
  <si>
    <t>1117640</t>
  </si>
  <si>
    <t>Департамент паливно-енергетичного комплексу, енергоефективності та житлово-комунального господарства</t>
  </si>
  <si>
    <t>Програма покращення якості надання публічних послуг органами виконавчої влади на 2023 рік</t>
  </si>
  <si>
    <t>3519770</t>
  </si>
  <si>
    <t>1319720</t>
  </si>
  <si>
    <t>1919730</t>
  </si>
  <si>
    <t>Департамент з питань культури, національностей та релігій</t>
  </si>
  <si>
    <t>Утримання та розвиток автомобільних доріг та дорожньої інфраструктури за рахунок коштів місцевого бюджету (дороги загального користування)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</si>
  <si>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 (комунальні дороги)</t>
  </si>
  <si>
    <t>Станом на 25.08.2023</t>
  </si>
  <si>
    <r>
      <t xml:space="preserve"> 2023 рік </t>
    </r>
    <r>
      <rPr>
        <sz val="14"/>
        <rFont val="Times New Roman"/>
        <family val="1"/>
        <charset val="204"/>
      </rPr>
      <t>(станом на 25.08.2023)</t>
    </r>
  </si>
</sst>
</file>

<file path=xl/styles.xml><?xml version="1.0" encoding="utf-8"?>
<styleSheet xmlns="http://schemas.openxmlformats.org/spreadsheetml/2006/main">
  <numFmts count="16">
    <numFmt numFmtId="164" formatCode="#,##0\ &quot;z?&quot;;[Red]\-#,##0\ &quot;z?&quot;"/>
    <numFmt numFmtId="165" formatCode="#,##0.00\ &quot;z?&quot;;[Red]\-#,##0.00\ &quot;z?&quot;"/>
    <numFmt numFmtId="166" formatCode="_-* #,##0\ _р_._-;\-* #,##0\ _р_._-;_-* &quot;-&quot;\ _р_._-;_-@_-"/>
    <numFmt numFmtId="167" formatCode="_-* #,##0.00\ _р_._-;\-* #,##0.00\ _р_._-;_-* &quot;-&quot;??\ _р_._-;_-@_-"/>
    <numFmt numFmtId="168" formatCode="_-* #,##0\ &quot;р.&quot;_-;\-* #,##0\ &quot;р.&quot;_-;_-* &quot;-&quot;\ &quot;р.&quot;_-;_-@_-"/>
    <numFmt numFmtId="169" formatCode="_-* #,##0.00\ &quot;р.&quot;_-;\-* #,##0.00\ &quot;р.&quot;_-;_-* &quot;-&quot;??\ &quot;р.&quot;_-;_-@_-"/>
    <numFmt numFmtId="170" formatCode="_-* #,##0\ _z_?_-;\-* #,##0\ _z_?_-;_-* &quot;-&quot;\ _z_?_-;_-@_-"/>
    <numFmt numFmtId="171" formatCode="_-* #,##0.00\ _z_?_-;\-* #,##0.00\ _z_?_-;_-* &quot;-&quot;??\ _z_?_-;_-@_-"/>
    <numFmt numFmtId="172" formatCode="#,##0.\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_-* #,##0.00\ &quot;грн.&quot;_-;\-* #,##0.00\ &quot;грн.&quot;_-;_-* &quot;-&quot;??\ &quot;грн.&quot;_-;_-@_-"/>
    <numFmt numFmtId="176" formatCode="_-* #,##0.00\ _г_р_н_._-;\-* #,##0.00\ _г_р_н_._-;_-* &quot;-&quot;??\ _г_р_н_._-;_-@_-"/>
    <numFmt numFmtId="177" formatCode="#,##0\ &quot;грн.&quot;;\-#,##0\ &quot;грн.&quot;"/>
    <numFmt numFmtId="178" formatCode="#,##0.0"/>
    <numFmt numFmtId="179" formatCode="#,##0.000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6">
    <xf numFmtId="0" fontId="0" fillId="0" borderId="0"/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" fontId="12" fillId="0" borderId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5" fillId="16" borderId="0"/>
    <xf numFmtId="0" fontId="16" fillId="17" borderId="0"/>
    <xf numFmtId="172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7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41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78" fontId="16" fillId="0" borderId="11" xfId="0" applyNumberFormat="1" applyFont="1" applyFill="1" applyBorder="1" applyAlignment="1">
      <alignment horizontal="center" vertical="center" wrapText="1"/>
    </xf>
    <xf numFmtId="178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178" fontId="17" fillId="0" borderId="0" xfId="0" applyNumberFormat="1" applyFont="1" applyBorder="1" applyAlignment="1">
      <alignment horizontal="center" vertical="center" wrapText="1"/>
    </xf>
    <xf numFmtId="179" fontId="17" fillId="0" borderId="0" xfId="0" applyNumberFormat="1" applyFont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178" fontId="40" fillId="0" borderId="11" xfId="0" applyNumberFormat="1" applyFont="1" applyFill="1" applyBorder="1" applyAlignment="1">
      <alignment horizontal="center" vertical="center" wrapText="1"/>
    </xf>
    <xf numFmtId="178" fontId="3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</cellXfs>
  <cellStyles count="216">
    <cellStyle name="?’ЋѓЋ‚›‰" xfId="1"/>
    <cellStyle name="?’ЋѓЋ‚›‰ 2" xfId="2"/>
    <cellStyle name="?’ЋѓЋ‚›‰_320_dod_1-8" xfId="3"/>
    <cellStyle name="_Veresen_derg" xfId="4"/>
    <cellStyle name="_Вик01102002 держ" xfId="5"/>
    <cellStyle name="_доходи" xfId="6"/>
    <cellStyle name="_Книга1" xfId="7"/>
    <cellStyle name="_освіта 25.12.2015 дод 9  2016" xfId="8"/>
    <cellStyle name="_ПНП" xfId="9"/>
    <cellStyle name="_Прогноз ДМ по районах" xfId="10"/>
    <cellStyle name="”?ЌЂЌ‘Ћ‚›‰" xfId="11"/>
    <cellStyle name="”?ЌЂЌ‘Ћ‚›‰ 2" xfId="12"/>
    <cellStyle name="”?ЌЂЌ‘Ћ‚›‰_320_dod_1-8" xfId="13"/>
    <cellStyle name="”?Љ‘?ђЋ‚ЂЌЌ›‰" xfId="14"/>
    <cellStyle name="”?Љ‘?ђЋ‚ЂЌЌ›‰ 2" xfId="15"/>
    <cellStyle name="”?Љ‘?ђЋ‚ЂЌЌ›‰_320_dod_1-8" xfId="16"/>
    <cellStyle name="”€ЌЂЌ‘Ћ‚›‰" xfId="17"/>
    <cellStyle name="”€ЌЂЌ‘Ћ‚›‰ 2" xfId="18"/>
    <cellStyle name="”€ЌЂЌ‘Ћ‚›‰_320_dod_1-8" xfId="19"/>
    <cellStyle name="”€Љ‘€ђЋ‚ЂЌЌ›‰" xfId="20"/>
    <cellStyle name="”€Љ‘€ђЋ‚ЂЌЌ›‰ 2" xfId="21"/>
    <cellStyle name="”€Љ‘€ђЋ‚ЂЌЌ›‰_320_dod_1-8" xfId="22"/>
    <cellStyle name="”ЌЂЌ‘Ћ‚›‰" xfId="23"/>
    <cellStyle name="”Љ‘ђЋ‚ЂЌЌ›‰" xfId="24"/>
    <cellStyle name="„…Ќ…†Ќ›‰" xfId="25"/>
    <cellStyle name="€’ЋѓЋ‚›‰" xfId="26"/>
    <cellStyle name="€’ЋѓЋ‚›‰ 2" xfId="27"/>
    <cellStyle name="€’ЋѓЋ‚›‰_320_dod_1-8" xfId="28"/>
    <cellStyle name="‡ЂѓЋ‹Ћ‚ЋЉ1" xfId="29"/>
    <cellStyle name="‡ЂѓЋ‹Ћ‚ЋЉ2" xfId="30"/>
    <cellStyle name="’ЋѓЋ‚›‰" xfId="31"/>
    <cellStyle name="" xfId="32"/>
    <cellStyle name="" xfId="33"/>
    <cellStyle name="_320_dod_1-8" xfId="34"/>
    <cellStyle name="_320_dod_1-8" xfId="35"/>
    <cellStyle name="_доходи" xfId="36"/>
    <cellStyle name="_доходи" xfId="37"/>
    <cellStyle name="_Лист1" xfId="38"/>
    <cellStyle name="_Лист1" xfId="39"/>
    <cellStyle name="_Лист1_1" xfId="40"/>
    <cellStyle name="_Лист1_1" xfId="41"/>
    <cellStyle name="_Лист1_1 2" xfId="42"/>
    <cellStyle name="_Лист1_1 2" xfId="43"/>
    <cellStyle name="_Лист1_1 3" xfId="44"/>
    <cellStyle name="_Лист1_1 3" xfId="45"/>
    <cellStyle name="_Лист1_1 4" xfId="46"/>
    <cellStyle name="_Лист1_1 4" xfId="47"/>
    <cellStyle name="_Лист1_1 5" xfId="48"/>
    <cellStyle name="_Лист1_1 5" xfId="49"/>
    <cellStyle name="_Лист1_1 6" xfId="50"/>
    <cellStyle name="_Лист1_1 6" xfId="51"/>
    <cellStyle name="_Лист1_1 7" xfId="52"/>
    <cellStyle name="_Лист1_1 7" xfId="53"/>
    <cellStyle name="" xfId="54"/>
    <cellStyle name="" xfId="55"/>
    <cellStyle name="_320_dod_1-8" xfId="56"/>
    <cellStyle name="_320_dod_1-8" xfId="57"/>
    <cellStyle name="_доходи" xfId="58"/>
    <cellStyle name="_доходи" xfId="59"/>
    <cellStyle name="_Лист1" xfId="60"/>
    <cellStyle name="_Лист1" xfId="61"/>
    <cellStyle name="_Лист1_1" xfId="62"/>
    <cellStyle name="_Лист1_1" xfId="63"/>
    <cellStyle name="_Лист1_1 2" xfId="64"/>
    <cellStyle name="_Лист1_1 2" xfId="65"/>
    <cellStyle name="_Лист1_1 3" xfId="66"/>
    <cellStyle name="_Лист1_1 3" xfId="67"/>
    <cellStyle name="_Лист1_1 4" xfId="68"/>
    <cellStyle name="_Лист1_1 4" xfId="69"/>
    <cellStyle name="_Лист1_1 5" xfId="70"/>
    <cellStyle name="_Лист1_1 5" xfId="71"/>
    <cellStyle name="_Лист1_1 6" xfId="72"/>
    <cellStyle name="_Лист1_1 6" xfId="73"/>
    <cellStyle name="_Лист1_1 7" xfId="74"/>
    <cellStyle name="_Лист1_1 7" xfId="75"/>
    <cellStyle name="" xfId="76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builtinId="29" customBuiltin="1"/>
    <cellStyle name="Акцентування2" xfId="135" builtinId="33" customBuiltin="1"/>
    <cellStyle name="Акцентування3" xfId="136" builtinId="37" customBuiltin="1"/>
    <cellStyle name="Акцентування4" xfId="137" builtinId="41" customBuiltin="1"/>
    <cellStyle name="Акцентування5" xfId="138" builtinId="45" customBuiltin="1"/>
    <cellStyle name="Акцентування6" xfId="139" builtinId="49" customBuiltin="1"/>
    <cellStyle name="Ввід" xfId="140" builtinId="20" customBuiltin="1"/>
    <cellStyle name="Ввод " xfId="141"/>
    <cellStyle name="Вывод" xfId="142"/>
    <cellStyle name="Вычисление" xfId="143"/>
    <cellStyle name="Гарний" xfId="144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" xfId="0" builtinId="0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builtinId="24" customBuiltin="1"/>
    <cellStyle name="Итог" xfId="181"/>
    <cellStyle name="Контрольна клітинка" xfId="182" builtinId="23" customBuiltin="1"/>
    <cellStyle name="Контрольная ячейка" xfId="183"/>
    <cellStyle name="Назва" xfId="184" builtinId="15" customBuiltin="1"/>
    <cellStyle name="Название" xfId="185"/>
    <cellStyle name="Нейтральний" xfId="186"/>
    <cellStyle name="Нейтральний 2" xfId="187"/>
    <cellStyle name="Нейтральный" xfId="188"/>
    <cellStyle name="Обчислення" xfId="189" builtinId="22" customBuiltin="1"/>
    <cellStyle name="Обычный 2" xfId="190"/>
    <cellStyle name="Обычный 2 2" xfId="191"/>
    <cellStyle name="Обычный 2 2 2" xfId="192"/>
    <cellStyle name="Обычный 2 3" xfId="193"/>
    <cellStyle name="Підсумок" xfId="194" builtinId="25" customBuiltin="1"/>
    <cellStyle name="Плохой" xfId="195"/>
    <cellStyle name="Поганий" xfId="196" builtinId="27" customBuiltin="1"/>
    <cellStyle name="Пояснение" xfId="197"/>
    <cellStyle name="Примечание" xfId="198"/>
    <cellStyle name="Примечание 2" xfId="199"/>
    <cellStyle name="Примітка" xfId="200" builtinId="10" customBuiltin="1"/>
    <cellStyle name="Результат" xfId="201" builtinId="21" customBuiltin="1"/>
    <cellStyle name="Связанная ячейка" xfId="202"/>
    <cellStyle name="Середній" xfId="203"/>
    <cellStyle name="Стиль 1" xfId="204"/>
    <cellStyle name="Текст попередження" xfId="205" builtinId="11" customBuiltin="1"/>
    <cellStyle name="Текст пояснення" xfId="206" builtinId="53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3"/>
  <sheetViews>
    <sheetView tabSelected="1" view="pageBreakPreview" zoomScale="75" zoomScaleNormal="60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N6" sqref="N6"/>
    </sheetView>
  </sheetViews>
  <sheetFormatPr defaultRowHeight="18.75"/>
  <cols>
    <col min="1" max="1" width="6" style="3" customWidth="1"/>
    <col min="2" max="2" width="14.7109375" style="7" customWidth="1"/>
    <col min="3" max="3" width="53.28515625" style="5" customWidth="1"/>
    <col min="4" max="4" width="30.5703125" style="3" customWidth="1"/>
    <col min="5" max="5" width="16.28515625" style="3" customWidth="1"/>
    <col min="6" max="6" width="15.5703125" style="3" customWidth="1"/>
    <col min="7" max="7" width="15.42578125" style="3" customWidth="1"/>
    <col min="8" max="8" width="16.5703125" style="3" customWidth="1"/>
    <col min="9" max="9" width="16" style="3" customWidth="1"/>
    <col min="10" max="10" width="15.42578125" style="3" customWidth="1"/>
    <col min="11" max="11" width="12" style="3" customWidth="1"/>
    <col min="12" max="16384" width="9.140625" style="3"/>
  </cols>
  <sheetData>
    <row r="1" spans="1:11" ht="18.75" customHeight="1">
      <c r="A1" s="38" t="s">
        <v>171</v>
      </c>
      <c r="B1" s="38"/>
      <c r="C1" s="38"/>
      <c r="D1" s="38"/>
      <c r="E1" s="38"/>
      <c r="F1" s="38"/>
      <c r="G1" s="38"/>
      <c r="H1" s="38"/>
      <c r="I1" s="38"/>
      <c r="J1" s="38"/>
      <c r="K1" s="11"/>
    </row>
    <row r="2" spans="1:11">
      <c r="A2" s="2" t="s">
        <v>14</v>
      </c>
      <c r="B2" s="6"/>
      <c r="C2" s="4"/>
      <c r="D2" s="39" t="s">
        <v>216</v>
      </c>
      <c r="E2" s="39"/>
      <c r="F2" s="2"/>
      <c r="G2" s="2"/>
      <c r="H2" s="2"/>
      <c r="I2" s="2"/>
      <c r="J2" s="12" t="s">
        <v>136</v>
      </c>
      <c r="K2" s="12"/>
    </row>
    <row r="3" spans="1:11" ht="28.9" customHeight="1">
      <c r="A3" s="32" t="s">
        <v>6</v>
      </c>
      <c r="B3" s="36" t="s">
        <v>25</v>
      </c>
      <c r="C3" s="32" t="s">
        <v>5</v>
      </c>
      <c r="D3" s="32" t="s">
        <v>0</v>
      </c>
      <c r="E3" s="32" t="s">
        <v>7</v>
      </c>
      <c r="F3" s="32"/>
      <c r="G3" s="32"/>
      <c r="H3" s="32" t="s">
        <v>8</v>
      </c>
      <c r="I3" s="32"/>
      <c r="J3" s="32"/>
      <c r="K3" s="32" t="s">
        <v>138</v>
      </c>
    </row>
    <row r="4" spans="1:11" ht="107.25" customHeight="1">
      <c r="A4" s="32"/>
      <c r="B4" s="36"/>
      <c r="C4" s="32"/>
      <c r="D4" s="32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2"/>
    </row>
    <row r="5" spans="1:11" ht="113.25" customHeight="1">
      <c r="A5" s="32">
        <v>1</v>
      </c>
      <c r="B5" s="10" t="s">
        <v>47</v>
      </c>
      <c r="C5" s="17" t="s">
        <v>157</v>
      </c>
      <c r="D5" s="13" t="s">
        <v>11</v>
      </c>
      <c r="E5" s="8">
        <f>E6+E7+E9+E8</f>
        <v>5021.1000000000004</v>
      </c>
      <c r="F5" s="8">
        <f>F6+F7+F9+F8</f>
        <v>2800</v>
      </c>
      <c r="G5" s="8">
        <f t="shared" ref="G5:G10" si="0">E5+F5</f>
        <v>7821.1</v>
      </c>
      <c r="H5" s="8">
        <f>H6+H7+H9+H8</f>
        <v>1822.4139999999998</v>
      </c>
      <c r="I5" s="8">
        <f>I6+I7+I9+I8</f>
        <v>1880</v>
      </c>
      <c r="J5" s="8">
        <f t="shared" ref="J5:J11" si="1">H5+I5</f>
        <v>3702.4139999999998</v>
      </c>
      <c r="K5" s="8">
        <f t="shared" ref="K5:K25" si="2">J5/G5*100</f>
        <v>47.338788661441477</v>
      </c>
    </row>
    <row r="6" spans="1:11" ht="63" customHeight="1">
      <c r="A6" s="32"/>
      <c r="B6" s="10" t="s">
        <v>49</v>
      </c>
      <c r="C6" s="1" t="s">
        <v>48</v>
      </c>
      <c r="D6" s="1" t="s">
        <v>12</v>
      </c>
      <c r="E6" s="9">
        <v>1400</v>
      </c>
      <c r="F6" s="9"/>
      <c r="G6" s="8">
        <f t="shared" si="0"/>
        <v>1400</v>
      </c>
      <c r="H6" s="9">
        <f>21.62+23.5+66.874+152.3+31.5+36+92+15.2+1.4+17.52+4.6+334.7+3.3+4.26+2.6+4.14+18.1+2.7</f>
        <v>832.31399999999996</v>
      </c>
      <c r="I6" s="9"/>
      <c r="J6" s="8">
        <f t="shared" si="1"/>
        <v>832.31399999999996</v>
      </c>
      <c r="K6" s="8">
        <f t="shared" si="2"/>
        <v>59.451000000000001</v>
      </c>
    </row>
    <row r="7" spans="1:11" ht="60.75" customHeight="1">
      <c r="A7" s="32"/>
      <c r="B7" s="10" t="s">
        <v>63</v>
      </c>
      <c r="C7" s="1" t="s">
        <v>48</v>
      </c>
      <c r="D7" s="1" t="s">
        <v>15</v>
      </c>
      <c r="E7" s="9">
        <f>2000+150</f>
        <v>2150</v>
      </c>
      <c r="F7" s="9"/>
      <c r="G7" s="8">
        <f t="shared" si="0"/>
        <v>2150</v>
      </c>
      <c r="H7" s="9">
        <f>57.41+11.7+43.3+30+99.6+82.2+186.1</f>
        <v>510.30999999999995</v>
      </c>
      <c r="I7" s="9"/>
      <c r="J7" s="8">
        <f t="shared" si="1"/>
        <v>510.30999999999995</v>
      </c>
      <c r="K7" s="8">
        <f t="shared" si="2"/>
        <v>23.735348837209301</v>
      </c>
    </row>
    <row r="8" spans="1:11" ht="63.75" customHeight="1">
      <c r="A8" s="32"/>
      <c r="B8" s="10" t="s">
        <v>140</v>
      </c>
      <c r="C8" s="1" t="s">
        <v>141</v>
      </c>
      <c r="D8" s="32" t="s">
        <v>64</v>
      </c>
      <c r="E8" s="9"/>
      <c r="F8" s="9">
        <v>2800</v>
      </c>
      <c r="G8" s="8">
        <f t="shared" si="0"/>
        <v>2800</v>
      </c>
      <c r="H8" s="9"/>
      <c r="I8" s="9">
        <f>690+470+240+240+240</f>
        <v>1880</v>
      </c>
      <c r="J8" s="8">
        <f t="shared" si="1"/>
        <v>1880</v>
      </c>
      <c r="K8" s="8">
        <f t="shared" si="2"/>
        <v>67.142857142857139</v>
      </c>
    </row>
    <row r="9" spans="1:11" ht="71.25" customHeight="1">
      <c r="A9" s="32"/>
      <c r="B9" s="10" t="s">
        <v>68</v>
      </c>
      <c r="C9" s="1" t="s">
        <v>50</v>
      </c>
      <c r="D9" s="32"/>
      <c r="E9" s="9">
        <f>1370+51.1+50</f>
        <v>1471.1</v>
      </c>
      <c r="F9" s="9"/>
      <c r="G9" s="8">
        <f t="shared" si="0"/>
        <v>1471.1</v>
      </c>
      <c r="H9" s="9">
        <f>54.16+11.3+40.23+51.3+8.5+2.7+3.5+2.4+31.3+21.8+14+38.2+10.5+26.3+49.2+26.6+19.3+24.8+7+36.7</f>
        <v>479.79000000000008</v>
      </c>
      <c r="I9" s="9"/>
      <c r="J9" s="8">
        <f t="shared" si="1"/>
        <v>479.79000000000008</v>
      </c>
      <c r="K9" s="8">
        <f t="shared" si="2"/>
        <v>32.614370199170693</v>
      </c>
    </row>
    <row r="10" spans="1:11" ht="128.25" customHeight="1">
      <c r="A10" s="32">
        <v>2</v>
      </c>
      <c r="B10" s="14"/>
      <c r="C10" s="18" t="s">
        <v>65</v>
      </c>
      <c r="D10" s="13" t="s">
        <v>11</v>
      </c>
      <c r="E10" s="8">
        <f>SUM(E11:E14)</f>
        <v>45843</v>
      </c>
      <c r="F10" s="8">
        <f>SUM(F11:F14)</f>
        <v>0</v>
      </c>
      <c r="G10" s="8">
        <f t="shared" si="0"/>
        <v>45843</v>
      </c>
      <c r="H10" s="8">
        <f>SUM(H11:H14)</f>
        <v>27510.9</v>
      </c>
      <c r="I10" s="8">
        <f>SUM(I11:I14)</f>
        <v>0</v>
      </c>
      <c r="J10" s="8">
        <f t="shared" si="1"/>
        <v>27510.9</v>
      </c>
      <c r="K10" s="8">
        <f t="shared" si="2"/>
        <v>60.011124926379168</v>
      </c>
    </row>
    <row r="11" spans="1:11" ht="62.25" customHeight="1">
      <c r="A11" s="32"/>
      <c r="B11" s="10" t="s">
        <v>66</v>
      </c>
      <c r="C11" s="1" t="s">
        <v>27</v>
      </c>
      <c r="D11" s="1" t="s">
        <v>12</v>
      </c>
      <c r="E11" s="9">
        <v>1700</v>
      </c>
      <c r="F11" s="9"/>
      <c r="G11" s="8">
        <f t="shared" ref="G11:G18" si="3">E11+F11</f>
        <v>1700</v>
      </c>
      <c r="H11" s="9">
        <f>2+2+7+8+2+8.5+13+58.2</f>
        <v>100.7</v>
      </c>
      <c r="I11" s="9"/>
      <c r="J11" s="8">
        <f t="shared" si="1"/>
        <v>100.7</v>
      </c>
      <c r="K11" s="8">
        <f t="shared" si="2"/>
        <v>5.9235294117647062</v>
      </c>
    </row>
    <row r="12" spans="1:11" ht="63" customHeight="1">
      <c r="A12" s="32"/>
      <c r="B12" s="10" t="s">
        <v>68</v>
      </c>
      <c r="C12" s="1" t="s">
        <v>69</v>
      </c>
      <c r="D12" s="32" t="s">
        <v>64</v>
      </c>
      <c r="E12" s="9">
        <v>370</v>
      </c>
      <c r="F12" s="9"/>
      <c r="G12" s="8">
        <f t="shared" si="3"/>
        <v>370</v>
      </c>
      <c r="H12" s="9"/>
      <c r="I12" s="9"/>
      <c r="J12" s="8">
        <f t="shared" ref="J12:J18" si="4">H12+I12</f>
        <v>0</v>
      </c>
      <c r="K12" s="8">
        <f t="shared" si="2"/>
        <v>0</v>
      </c>
    </row>
    <row r="13" spans="1:11" ht="64.5" customHeight="1">
      <c r="A13" s="32"/>
      <c r="B13" s="10">
        <v>2318410</v>
      </c>
      <c r="C13" s="1" t="s">
        <v>26</v>
      </c>
      <c r="D13" s="32"/>
      <c r="E13" s="9">
        <f>39620+303</f>
        <v>39923</v>
      </c>
      <c r="F13" s="9"/>
      <c r="G13" s="8">
        <f t="shared" si="3"/>
        <v>39923</v>
      </c>
      <c r="H13" s="9">
        <f>536.8+2501+512.4+2490.4+524.2+49.6+2440+750+2376.6+1260.4+1812+991.5+35.1+2040+644.8+610+2245.2+680.2+15+2856.4</f>
        <v>25371.600000000002</v>
      </c>
      <c r="I13" s="9"/>
      <c r="J13" s="8">
        <f t="shared" si="4"/>
        <v>25371.600000000002</v>
      </c>
      <c r="K13" s="8">
        <f t="shared" si="2"/>
        <v>63.551336322420667</v>
      </c>
    </row>
    <row r="14" spans="1:11" ht="63" customHeight="1">
      <c r="A14" s="32"/>
      <c r="B14" s="10" t="s">
        <v>67</v>
      </c>
      <c r="C14" s="1" t="s">
        <v>27</v>
      </c>
      <c r="D14" s="32"/>
      <c r="E14" s="9">
        <f>2950+900</f>
        <v>3850</v>
      </c>
      <c r="F14" s="9"/>
      <c r="G14" s="8">
        <f t="shared" si="3"/>
        <v>3850</v>
      </c>
      <c r="H14" s="9">
        <f>4.5+1+61.6+25.7+44.1+69.9+32.8+44.7+23+24.9+129.8+31.6+301.5+16.1+220+27.5+89.8+22+41.2+499.9+325+2</f>
        <v>2038.6</v>
      </c>
      <c r="I14" s="9"/>
      <c r="J14" s="8">
        <f t="shared" si="4"/>
        <v>2038.6</v>
      </c>
      <c r="K14" s="8">
        <f t="shared" si="2"/>
        <v>52.95064935064935</v>
      </c>
    </row>
    <row r="15" spans="1:11" ht="121.5" customHeight="1">
      <c r="A15" s="32">
        <v>3</v>
      </c>
      <c r="B15" s="1"/>
      <c r="C15" s="18" t="s">
        <v>70</v>
      </c>
      <c r="D15" s="13" t="s">
        <v>11</v>
      </c>
      <c r="E15" s="8">
        <f>SUM(E16:E18)</f>
        <v>59222.700000000004</v>
      </c>
      <c r="F15" s="8">
        <f>SUM(F16:F18)</f>
        <v>27006.400000000001</v>
      </c>
      <c r="G15" s="8">
        <f t="shared" si="3"/>
        <v>86229.1</v>
      </c>
      <c r="H15" s="8">
        <f>SUM(H16:H18)</f>
        <v>18558.7</v>
      </c>
      <c r="I15" s="8">
        <f>SUM(I16:I18)</f>
        <v>9885.8000000000011</v>
      </c>
      <c r="J15" s="8">
        <f>H15+I15</f>
        <v>28444.5</v>
      </c>
      <c r="K15" s="8">
        <f t="shared" si="2"/>
        <v>32.987123836384697</v>
      </c>
    </row>
    <row r="16" spans="1:11" ht="99.75" customHeight="1">
      <c r="A16" s="32"/>
      <c r="B16" s="10" t="s">
        <v>72</v>
      </c>
      <c r="C16" s="1" t="s">
        <v>73</v>
      </c>
      <c r="D16" s="32" t="s">
        <v>13</v>
      </c>
      <c r="E16" s="9">
        <f>6500+93.2</f>
        <v>6593.2</v>
      </c>
      <c r="F16" s="9"/>
      <c r="G16" s="8">
        <f t="shared" si="3"/>
        <v>6593.2</v>
      </c>
      <c r="H16" s="9">
        <f>219.6+25.1+158.5+166.9+36.7+288.5+114.2+327.8+127.8+244.3+194.5+198.2+566+568+225+69.3+212.4+219.6</f>
        <v>3962.4</v>
      </c>
      <c r="I16" s="9"/>
      <c r="J16" s="8">
        <f t="shared" si="4"/>
        <v>3962.4</v>
      </c>
      <c r="K16" s="8">
        <f t="shared" si="2"/>
        <v>60.098283079536493</v>
      </c>
    </row>
    <row r="17" spans="1:11" ht="79.5" customHeight="1">
      <c r="A17" s="32"/>
      <c r="B17" s="10" t="s">
        <v>71</v>
      </c>
      <c r="C17" s="1" t="s">
        <v>51</v>
      </c>
      <c r="D17" s="32"/>
      <c r="E17" s="9">
        <f>58413.9+23308.7-25745.9-723.6-6500-21680.5</f>
        <v>27072.600000000006</v>
      </c>
      <c r="F17" s="9">
        <f>1180+25745.9-3500+3580.5</f>
        <v>27006.400000000001</v>
      </c>
      <c r="G17" s="8">
        <f t="shared" si="3"/>
        <v>54079.000000000007</v>
      </c>
      <c r="H17" s="9">
        <f>913.9+56+27.5+9.6+417.5+27.1+3128.8+159.4+39.6+344.4+1299+171.8+1459.9+1930.8+175.1+803.6+180.8+131.6+344.7+542.5+475.8</f>
        <v>12639.4</v>
      </c>
      <c r="I17" s="9">
        <f>1180+186.9+483.3+245.3+4041.7+1751.4+15+1982.2</f>
        <v>9885.8000000000011</v>
      </c>
      <c r="J17" s="8">
        <f t="shared" si="4"/>
        <v>22525.200000000001</v>
      </c>
      <c r="K17" s="8">
        <f t="shared" si="2"/>
        <v>41.652397418591313</v>
      </c>
    </row>
    <row r="18" spans="1:11" ht="69.75" customHeight="1">
      <c r="A18" s="32"/>
      <c r="B18" s="10" t="s">
        <v>194</v>
      </c>
      <c r="C18" s="1" t="s">
        <v>53</v>
      </c>
      <c r="D18" s="32"/>
      <c r="E18" s="9">
        <f>233.3+723.6+6500+18100</f>
        <v>25556.9</v>
      </c>
      <c r="F18" s="9"/>
      <c r="G18" s="8">
        <f t="shared" si="3"/>
        <v>25556.9</v>
      </c>
      <c r="H18" s="9">
        <f>233.3+671.4+52.2+1000</f>
        <v>1956.9</v>
      </c>
      <c r="I18" s="9"/>
      <c r="J18" s="8">
        <f t="shared" si="4"/>
        <v>1956.9</v>
      </c>
      <c r="K18" s="8">
        <f t="shared" si="2"/>
        <v>7.6570319561449161</v>
      </c>
    </row>
    <row r="19" spans="1:11" ht="140.25" customHeight="1">
      <c r="A19" s="32">
        <v>4</v>
      </c>
      <c r="B19" s="10"/>
      <c r="C19" s="18" t="s">
        <v>195</v>
      </c>
      <c r="D19" s="13" t="s">
        <v>11</v>
      </c>
      <c r="E19" s="8">
        <f>SUM(E20:E23)</f>
        <v>3522.5</v>
      </c>
      <c r="F19" s="8">
        <f>SUM(F20:F23)</f>
        <v>0</v>
      </c>
      <c r="G19" s="8">
        <f>SUM(E19:F19)</f>
        <v>3522.5</v>
      </c>
      <c r="H19" s="8">
        <f>SUM(H20:H23)</f>
        <v>1137.3000000000002</v>
      </c>
      <c r="I19" s="8">
        <f>SUM(I20:I23)</f>
        <v>0</v>
      </c>
      <c r="J19" s="8">
        <f>SUM(H19:I19)</f>
        <v>1137.3000000000002</v>
      </c>
      <c r="K19" s="8">
        <f>J19/G19*100</f>
        <v>32.286728176011358</v>
      </c>
    </row>
    <row r="20" spans="1:11" ht="73.5" customHeight="1">
      <c r="A20" s="32"/>
      <c r="B20" s="10" t="s">
        <v>71</v>
      </c>
      <c r="C20" s="1" t="s">
        <v>51</v>
      </c>
      <c r="D20" s="1" t="s">
        <v>13</v>
      </c>
      <c r="E20" s="9">
        <f>1872.5</f>
        <v>1872.5</v>
      </c>
      <c r="F20" s="9"/>
      <c r="G20" s="8">
        <f>SUM(E20:F20)</f>
        <v>1872.5</v>
      </c>
      <c r="H20" s="9">
        <f>300+5+60.1+102.1+53.6+41</f>
        <v>561.80000000000007</v>
      </c>
      <c r="I20" s="9"/>
      <c r="J20" s="8">
        <f>SUM(H20:I20)</f>
        <v>561.80000000000007</v>
      </c>
      <c r="K20" s="8">
        <f>J20/G20*100</f>
        <v>30.002670226969297</v>
      </c>
    </row>
    <row r="21" spans="1:11" ht="73.5" customHeight="1">
      <c r="A21" s="32"/>
      <c r="B21" s="10" t="s">
        <v>201</v>
      </c>
      <c r="C21" s="1" t="s">
        <v>53</v>
      </c>
      <c r="D21" s="33" t="s">
        <v>213</v>
      </c>
      <c r="E21" s="9">
        <v>365</v>
      </c>
      <c r="F21" s="9"/>
      <c r="G21" s="8">
        <f>SUM(E21:F21)</f>
        <v>365</v>
      </c>
      <c r="H21" s="9">
        <v>365</v>
      </c>
      <c r="I21" s="9"/>
      <c r="J21" s="8">
        <f>SUM(H21:I21)</f>
        <v>365</v>
      </c>
      <c r="K21" s="8">
        <f>J21/G21*100</f>
        <v>100</v>
      </c>
    </row>
    <row r="22" spans="1:11" ht="72.75" customHeight="1">
      <c r="A22" s="32"/>
      <c r="B22" s="10" t="s">
        <v>40</v>
      </c>
      <c r="C22" s="1" t="s">
        <v>139</v>
      </c>
      <c r="D22" s="35"/>
      <c r="E22" s="9">
        <f>1465-365</f>
        <v>1100</v>
      </c>
      <c r="F22" s="9"/>
      <c r="G22" s="8">
        <f>SUM(E22:F22)</f>
        <v>1100</v>
      </c>
      <c r="H22" s="9">
        <f>200</f>
        <v>200</v>
      </c>
      <c r="I22" s="9"/>
      <c r="J22" s="8">
        <f>SUM(H22:I22)</f>
        <v>200</v>
      </c>
      <c r="K22" s="8">
        <f>J22/G22*100</f>
        <v>18.181818181818183</v>
      </c>
    </row>
    <row r="23" spans="1:11" ht="79.5" customHeight="1">
      <c r="A23" s="32"/>
      <c r="B23" s="10" t="s">
        <v>67</v>
      </c>
      <c r="C23" s="1" t="s">
        <v>27</v>
      </c>
      <c r="D23" s="1" t="s">
        <v>64</v>
      </c>
      <c r="E23" s="9">
        <f>185</f>
        <v>185</v>
      </c>
      <c r="F23" s="9"/>
      <c r="G23" s="8">
        <f>SUM(E23:F23)</f>
        <v>185</v>
      </c>
      <c r="H23" s="9">
        <f>1.5+4.5+3+1.5</f>
        <v>10.5</v>
      </c>
      <c r="I23" s="9"/>
      <c r="J23" s="8">
        <f>SUM(H23:I23)</f>
        <v>10.5</v>
      </c>
      <c r="K23" s="8">
        <f>J23/G23*100</f>
        <v>5.6756756756756763</v>
      </c>
    </row>
    <row r="24" spans="1:11" ht="75" customHeight="1">
      <c r="A24" s="32">
        <v>5</v>
      </c>
      <c r="B24" s="10"/>
      <c r="C24" s="18" t="s">
        <v>74</v>
      </c>
      <c r="D24" s="13" t="s">
        <v>11</v>
      </c>
      <c r="E24" s="24">
        <f>SUM(E25:E37)</f>
        <v>810637.99999999988</v>
      </c>
      <c r="F24" s="24">
        <f>SUM(F25:F37)</f>
        <v>213894</v>
      </c>
      <c r="G24" s="8">
        <f>E24+F24</f>
        <v>1024531.9999999999</v>
      </c>
      <c r="H24" s="24">
        <f>SUM(H25:H37)</f>
        <v>452882.7</v>
      </c>
      <c r="I24" s="24">
        <f>SUM(I25:I37)</f>
        <v>37173.300000000003</v>
      </c>
      <c r="J24" s="8">
        <f>H24+I24</f>
        <v>490056</v>
      </c>
      <c r="K24" s="8">
        <f t="shared" si="2"/>
        <v>47.83218093724745</v>
      </c>
    </row>
    <row r="25" spans="1:11" ht="62.25" customHeight="1">
      <c r="A25" s="32"/>
      <c r="B25" s="10" t="s">
        <v>75</v>
      </c>
      <c r="C25" s="1" t="s">
        <v>76</v>
      </c>
      <c r="D25" s="33" t="s">
        <v>9</v>
      </c>
      <c r="E25" s="25">
        <f>51730.45+169.6+866.6+130</f>
        <v>52896.649999999994</v>
      </c>
      <c r="F25" s="9">
        <f>47.9+4039.8+2750</f>
        <v>6837.7000000000007</v>
      </c>
      <c r="G25" s="8">
        <f>E25+F25</f>
        <v>59734.349999999991</v>
      </c>
      <c r="H25" s="9">
        <f>3.6+3246.6+2965.5+104.7+244.9+3227.9+1684.5+507.8+838.5+141.1+2555.5+235+862+3119.8+1391.1+1440.8+1861.7+35.6+140.9+2609.9-333.9</f>
        <v>26883.499999999996</v>
      </c>
      <c r="I25" s="9">
        <f>47.9+1221+440.4+105.4</f>
        <v>1814.7000000000003</v>
      </c>
      <c r="J25" s="8">
        <f>H25+I25</f>
        <v>28698.199999999997</v>
      </c>
      <c r="K25" s="8">
        <f t="shared" si="2"/>
        <v>48.043043910245949</v>
      </c>
    </row>
    <row r="26" spans="1:11" ht="59.25" customHeight="1">
      <c r="A26" s="32"/>
      <c r="B26" s="10" t="s">
        <v>77</v>
      </c>
      <c r="C26" s="1" t="s">
        <v>78</v>
      </c>
      <c r="D26" s="34"/>
      <c r="E26" s="25">
        <f>226203.977+28874.4+20933.5-1782.7+231.8+3218.7</f>
        <v>277679.67699999997</v>
      </c>
      <c r="F26" s="9">
        <f>773.6+20000+10000+37552.5+26785.1</f>
        <v>95111.200000000012</v>
      </c>
      <c r="G26" s="8">
        <f t="shared" ref="G26:G37" si="5">E26+F26</f>
        <v>372790.87699999998</v>
      </c>
      <c r="H26" s="9">
        <f>268.4+14163.8+29.2+309.2+2340.7+11141.3+3371.1+29909.2+11447.9+7692.8+3920.3+1400+1800+1039.9+6403.5+950+7426.9+6327.1+6895.4+2362.6+1028.1+6056.2+6467.3+2772.1+55+2973.2+5213.1+2706+2144+3174.1+3118.2+5915.9+901+7735.6+1958.6+5429.5-36.5</f>
        <v>176810.70000000004</v>
      </c>
      <c r="I26" s="9">
        <f>773.6</f>
        <v>773.6</v>
      </c>
      <c r="J26" s="8">
        <f t="shared" ref="J26:J37" si="6">H26+I26</f>
        <v>177584.30000000005</v>
      </c>
      <c r="K26" s="8">
        <f t="shared" ref="K26:K37" si="7">J26/G26*100</f>
        <v>47.636439343444572</v>
      </c>
    </row>
    <row r="27" spans="1:11" ht="55.5" customHeight="1">
      <c r="A27" s="32"/>
      <c r="B27" s="10" t="s">
        <v>79</v>
      </c>
      <c r="C27" s="1" t="s">
        <v>80</v>
      </c>
      <c r="D27" s="34"/>
      <c r="E27" s="25">
        <v>19757</v>
      </c>
      <c r="F27" s="9">
        <f>10405.9</f>
        <v>10405.9</v>
      </c>
      <c r="G27" s="8">
        <f t="shared" si="5"/>
        <v>30162.9</v>
      </c>
      <c r="H27" s="9">
        <f>121.1+3.1+1180.8+626+77.2+3.2+1555.4+57+45.8+1+998.1+553.5+4.1+24.9+707.6+403.1+157.9+2.8+40.8+358.1+403.6+127.3+44.5+985.7+13.8+41.6+976.4</f>
        <v>9514.4000000000015</v>
      </c>
      <c r="I27" s="9">
        <v>10405.9</v>
      </c>
      <c r="J27" s="8">
        <f t="shared" si="6"/>
        <v>19920.300000000003</v>
      </c>
      <c r="K27" s="8">
        <f t="shared" si="7"/>
        <v>66.042389823259711</v>
      </c>
    </row>
    <row r="28" spans="1:11" ht="63.75" customHeight="1">
      <c r="A28" s="32"/>
      <c r="B28" s="10" t="s">
        <v>81</v>
      </c>
      <c r="C28" s="1" t="s">
        <v>82</v>
      </c>
      <c r="D28" s="34"/>
      <c r="E28" s="25">
        <f>60257.086+109.3+139.2</f>
        <v>60505.586000000003</v>
      </c>
      <c r="F28" s="9"/>
      <c r="G28" s="8">
        <f t="shared" si="5"/>
        <v>60505.586000000003</v>
      </c>
      <c r="H28" s="9">
        <f>19.3+11+5256.5+310.4+2434.75+81.2+1844.85-1060.35+1061.35+2514.7+1835.5+209.4+1394.5+1386+806.8+1242+1260+58.5+1320.8+1743.7+241+1642.6+1355.7+1607.5+277.8+1318.6+1296.8+88.4+1587.4</f>
        <v>33146.699999999997</v>
      </c>
      <c r="I28" s="9"/>
      <c r="J28" s="8">
        <f t="shared" si="6"/>
        <v>33146.699999999997</v>
      </c>
      <c r="K28" s="8">
        <f t="shared" si="7"/>
        <v>54.78287574968698</v>
      </c>
    </row>
    <row r="29" spans="1:11" ht="53.25" customHeight="1">
      <c r="A29" s="32"/>
      <c r="B29" s="10" t="s">
        <v>83</v>
      </c>
      <c r="C29" s="1" t="s">
        <v>84</v>
      </c>
      <c r="D29" s="34"/>
      <c r="E29" s="25">
        <f>54771.24+139+0.1</f>
        <v>54910.34</v>
      </c>
      <c r="F29" s="9"/>
      <c r="G29" s="8">
        <f t="shared" si="5"/>
        <v>54910.34</v>
      </c>
      <c r="H29" s="9">
        <f>169.3+5880.7+83.3+1930.8+562.5+2460.6+1899.8+131.3+2084.9+380.2+1981.6+2017.3+1829.6-164.4+2408+47+154.4+2014.5+2060+312.2+2063.9+137.9+206.7+1703</f>
        <v>32355.100000000002</v>
      </c>
      <c r="I29" s="9"/>
      <c r="J29" s="8">
        <f t="shared" si="6"/>
        <v>32355.100000000002</v>
      </c>
      <c r="K29" s="8">
        <f t="shared" si="7"/>
        <v>58.923510581067248</v>
      </c>
    </row>
    <row r="30" spans="1:11" ht="53.25" customHeight="1">
      <c r="A30" s="32"/>
      <c r="B30" s="10" t="s">
        <v>85</v>
      </c>
      <c r="C30" s="1" t="s">
        <v>86</v>
      </c>
      <c r="D30" s="34"/>
      <c r="E30" s="25">
        <v>13038.492</v>
      </c>
      <c r="F30" s="9"/>
      <c r="G30" s="8">
        <f t="shared" si="5"/>
        <v>13038.492</v>
      </c>
      <c r="H30" s="9">
        <f>1+3.5+74.9+391.1+61.9+302.8+150+350+198.2+465.3+420+212+274.7+167.4+47.6+150+280.1+111+183.5+28.3+32.6+170.5+119.9+2209.5+55.8</f>
        <v>6461.5999999999995</v>
      </c>
      <c r="I30" s="9"/>
      <c r="J30" s="8">
        <f t="shared" si="6"/>
        <v>6461.5999999999995</v>
      </c>
      <c r="K30" s="8">
        <f t="shared" si="7"/>
        <v>49.557878319057139</v>
      </c>
    </row>
    <row r="31" spans="1:11" ht="55.5" customHeight="1">
      <c r="A31" s="32"/>
      <c r="B31" s="10" t="s">
        <v>87</v>
      </c>
      <c r="C31" s="1" t="s">
        <v>88</v>
      </c>
      <c r="D31" s="34"/>
      <c r="E31" s="25">
        <f>9960.196+4064.3+3536.5+1932.6+2592.4</f>
        <v>22085.995999999999</v>
      </c>
      <c r="F31" s="9">
        <f>1500</f>
        <v>1500</v>
      </c>
      <c r="G31" s="8">
        <f t="shared" si="5"/>
        <v>23585.995999999999</v>
      </c>
      <c r="H31" s="9">
        <f>67+57+340.6+111.5+106.6+4076.8+132.5+624.6+2369.2+170.8+373.3+32.6+31.3+25.1+275+166.9+67.2+10+394+280.1+48.8+303.2+471.9+191.2+56.2+50.5+118.5+589.7</f>
        <v>11542.100000000002</v>
      </c>
      <c r="I31" s="9"/>
      <c r="J31" s="8">
        <f t="shared" si="6"/>
        <v>11542.100000000002</v>
      </c>
      <c r="K31" s="8">
        <f t="shared" si="7"/>
        <v>48.936241657973667</v>
      </c>
    </row>
    <row r="32" spans="1:11" ht="63.75" customHeight="1">
      <c r="A32" s="32"/>
      <c r="B32" s="10" t="s">
        <v>89</v>
      </c>
      <c r="C32" s="1" t="s">
        <v>90</v>
      </c>
      <c r="D32" s="34"/>
      <c r="E32" s="25">
        <f>48431.904+714.5-1800</f>
        <v>47346.404000000002</v>
      </c>
      <c r="F32" s="9">
        <v>1800</v>
      </c>
      <c r="G32" s="8">
        <f t="shared" si="5"/>
        <v>49146.404000000002</v>
      </c>
      <c r="H32" s="9">
        <f>244+1534.1+125+3741.1+2398.7+1828.2+152.2+256.2+1726.2+1650+133+1883.1+1735+300.4+1804.6+1868+252.1+2421.7+1800+94.1+1799.6+14.5+1804.9+93</f>
        <v>29659.7</v>
      </c>
      <c r="I32" s="9">
        <f>1799.8</f>
        <v>1799.8</v>
      </c>
      <c r="J32" s="8">
        <f t="shared" si="6"/>
        <v>31459.5</v>
      </c>
      <c r="K32" s="8">
        <f t="shared" si="7"/>
        <v>64.011804403837971</v>
      </c>
    </row>
    <row r="33" spans="1:11" ht="57.75" customHeight="1">
      <c r="A33" s="32"/>
      <c r="B33" s="10" t="s">
        <v>91</v>
      </c>
      <c r="C33" s="1" t="s">
        <v>92</v>
      </c>
      <c r="D33" s="34"/>
      <c r="E33" s="25">
        <f>81856.655+80.5+6210.5+2877+22614.5</f>
        <v>113639.155</v>
      </c>
      <c r="F33" s="9">
        <f>199</f>
        <v>199</v>
      </c>
      <c r="G33" s="8">
        <f t="shared" si="5"/>
        <v>113838.155</v>
      </c>
      <c r="H33" s="9">
        <f>1349+1944.2+1147.2+681.6+610+4546.5+1406.5+2825.1+3693.8+168.5+5150.3+2858.2+889.7+3652.7+566.7+4463.2+217.8+281.7+3724.3+391.8+3695.2+1036.6+173.3+2179.3+306.6+3766.1+3.3+2137+371+6353.5+1927.3+1915.9+455.7</f>
        <v>64889.600000000013</v>
      </c>
      <c r="I33" s="9">
        <f>199</f>
        <v>199</v>
      </c>
      <c r="J33" s="8">
        <f t="shared" si="6"/>
        <v>65088.600000000013</v>
      </c>
      <c r="K33" s="8">
        <f t="shared" si="7"/>
        <v>57.176436143048889</v>
      </c>
    </row>
    <row r="34" spans="1:11" ht="54" customHeight="1">
      <c r="A34" s="32"/>
      <c r="B34" s="10" t="s">
        <v>52</v>
      </c>
      <c r="C34" s="1" t="s">
        <v>93</v>
      </c>
      <c r="D34" s="34"/>
      <c r="E34" s="25">
        <f>161977+21384.2+17214.6-44279.6-9718.1</f>
        <v>146578.1</v>
      </c>
      <c r="F34" s="9">
        <f>129900+36513.6-30000-4672.6+1227.3-900-2175-33653.1-9208</f>
        <v>87032.199999999983</v>
      </c>
      <c r="G34" s="8">
        <f t="shared" si="5"/>
        <v>233610.3</v>
      </c>
      <c r="H34" s="9">
        <f>187.8+274.8+13.6+326.5+393.9+2456.3+1342.9+1547.7+169.4+2921.2+10.3+82.2+2221.4+2518.4+478.9+2414+2798.8+3084.8+1126.2+7357.8+4529.6+2251.8+6632.1+2210.6+2001.6+1972+740.4+696.9+1775+5734.4-420.6</f>
        <v>59850.7</v>
      </c>
      <c r="I34" s="9">
        <f>751+6513.6+50+7095+995.1+1077.7+900+1087.3+80+1111.7+718.9</f>
        <v>20380.300000000003</v>
      </c>
      <c r="J34" s="8">
        <f t="shared" si="6"/>
        <v>80231</v>
      </c>
      <c r="K34" s="8">
        <f t="shared" si="7"/>
        <v>34.343948019415244</v>
      </c>
    </row>
    <row r="35" spans="1:11" ht="57.75" customHeight="1">
      <c r="A35" s="32"/>
      <c r="B35" s="10" t="s">
        <v>158</v>
      </c>
      <c r="C35" s="1" t="s">
        <v>53</v>
      </c>
      <c r="D35" s="34"/>
      <c r="E35" s="25">
        <v>970</v>
      </c>
      <c r="F35" s="9"/>
      <c r="G35" s="8">
        <f t="shared" si="5"/>
        <v>970</v>
      </c>
      <c r="H35" s="9">
        <f>215+108+108+107</f>
        <v>538</v>
      </c>
      <c r="I35" s="9"/>
      <c r="J35" s="8">
        <f t="shared" si="6"/>
        <v>538</v>
      </c>
      <c r="K35" s="8">
        <f t="shared" si="7"/>
        <v>55.463917525773198</v>
      </c>
    </row>
    <row r="36" spans="1:11" ht="57.75" customHeight="1">
      <c r="A36" s="1"/>
      <c r="B36" s="10" t="s">
        <v>200</v>
      </c>
      <c r="C36" s="1" t="s">
        <v>62</v>
      </c>
      <c r="D36" s="35"/>
      <c r="E36" s="25">
        <v>1200</v>
      </c>
      <c r="F36" s="9">
        <f>1800+9208</f>
        <v>11008</v>
      </c>
      <c r="G36" s="8">
        <f t="shared" si="5"/>
        <v>12208</v>
      </c>
      <c r="H36" s="9">
        <v>1200</v>
      </c>
      <c r="I36" s="9">
        <v>1800</v>
      </c>
      <c r="J36" s="8">
        <f t="shared" si="6"/>
        <v>3000</v>
      </c>
      <c r="K36" s="8">
        <f t="shared" si="7"/>
        <v>24.5740498034076</v>
      </c>
    </row>
    <row r="37" spans="1:11" ht="57.75" customHeight="1">
      <c r="A37" s="1"/>
      <c r="B37" s="10" t="s">
        <v>127</v>
      </c>
      <c r="C37" s="1" t="s">
        <v>204</v>
      </c>
      <c r="D37" s="27" t="s">
        <v>145</v>
      </c>
      <c r="E37" s="25">
        <f>30.6</f>
        <v>30.6</v>
      </c>
      <c r="F37" s="9"/>
      <c r="G37" s="8">
        <f t="shared" si="5"/>
        <v>30.6</v>
      </c>
      <c r="H37" s="9">
        <v>30.6</v>
      </c>
      <c r="I37" s="9"/>
      <c r="J37" s="8">
        <f t="shared" si="6"/>
        <v>30.6</v>
      </c>
      <c r="K37" s="8">
        <f t="shared" si="7"/>
        <v>100</v>
      </c>
    </row>
    <row r="38" spans="1:11" ht="103.5" customHeight="1">
      <c r="A38" s="32">
        <v>6</v>
      </c>
      <c r="B38" s="10"/>
      <c r="C38" s="18" t="s">
        <v>94</v>
      </c>
      <c r="D38" s="13" t="s">
        <v>11</v>
      </c>
      <c r="E38" s="8">
        <f>SUM(E39:E42)</f>
        <v>62797.9</v>
      </c>
      <c r="F38" s="8">
        <f>SUM(F39:F42)</f>
        <v>0</v>
      </c>
      <c r="G38" s="8">
        <f>E38+F38</f>
        <v>62797.9</v>
      </c>
      <c r="H38" s="8">
        <f>SUM(H39:H42)</f>
        <v>43439.5</v>
      </c>
      <c r="I38" s="8">
        <f>SUM(I39:I42)</f>
        <v>0</v>
      </c>
      <c r="J38" s="8">
        <f t="shared" ref="J38:J46" si="8">H38+I38</f>
        <v>43439.5</v>
      </c>
      <c r="K38" s="8">
        <f t="shared" ref="K38:K53" si="9">J38/G38*100</f>
        <v>69.173491470256167</v>
      </c>
    </row>
    <row r="39" spans="1:11" ht="101.25" customHeight="1">
      <c r="A39" s="32"/>
      <c r="B39" s="10" t="s">
        <v>161</v>
      </c>
      <c r="C39" s="1" t="s">
        <v>162</v>
      </c>
      <c r="D39" s="32" t="s">
        <v>1</v>
      </c>
      <c r="E39" s="9">
        <f>15515-619.1</f>
        <v>14895.9</v>
      </c>
      <c r="F39" s="8"/>
      <c r="G39" s="8">
        <f t="shared" ref="G39:G47" si="10">E39+F39</f>
        <v>14895.9</v>
      </c>
      <c r="H39" s="9">
        <f>7197.3+7198.6</f>
        <v>14395.900000000001</v>
      </c>
      <c r="I39" s="8"/>
      <c r="J39" s="8">
        <f t="shared" si="8"/>
        <v>14395.900000000001</v>
      </c>
      <c r="K39" s="8">
        <f t="shared" si="9"/>
        <v>96.643371666028926</v>
      </c>
    </row>
    <row r="40" spans="1:11" ht="66.75" customHeight="1">
      <c r="A40" s="32"/>
      <c r="B40" s="10" t="s">
        <v>37</v>
      </c>
      <c r="C40" s="1" t="s">
        <v>28</v>
      </c>
      <c r="D40" s="32"/>
      <c r="E40" s="9">
        <v>500</v>
      </c>
      <c r="F40" s="9"/>
      <c r="G40" s="8">
        <f t="shared" si="10"/>
        <v>500</v>
      </c>
      <c r="H40" s="9">
        <f>153.1+7.4+4.2</f>
        <v>164.7</v>
      </c>
      <c r="I40" s="9"/>
      <c r="J40" s="8">
        <f t="shared" si="8"/>
        <v>164.7</v>
      </c>
      <c r="K40" s="8">
        <f t="shared" si="9"/>
        <v>32.94</v>
      </c>
    </row>
    <row r="41" spans="1:11" ht="59.25" customHeight="1">
      <c r="A41" s="32"/>
      <c r="B41" s="10" t="s">
        <v>39</v>
      </c>
      <c r="C41" s="1" t="s">
        <v>29</v>
      </c>
      <c r="D41" s="32"/>
      <c r="E41" s="9">
        <f>45305.4-903.4</f>
        <v>44402</v>
      </c>
      <c r="F41" s="9"/>
      <c r="G41" s="8">
        <f t="shared" si="10"/>
        <v>44402</v>
      </c>
      <c r="H41" s="9">
        <f>51+201+102.6+1200.4+914.3+5.4+2408.8+455+153.5+2275.9+1906.5+486.5+2.7+1527.5+12.8+298+51.9+238.2+2596.8+1362.7+3038.8+9588.6</f>
        <v>28878.9</v>
      </c>
      <c r="I41" s="9"/>
      <c r="J41" s="8">
        <f t="shared" si="8"/>
        <v>28878.9</v>
      </c>
      <c r="K41" s="8">
        <f t="shared" si="9"/>
        <v>65.039637854150726</v>
      </c>
    </row>
    <row r="42" spans="1:11" ht="70.5" customHeight="1">
      <c r="A42" s="32"/>
      <c r="B42" s="10" t="s">
        <v>38</v>
      </c>
      <c r="C42" s="1" t="s">
        <v>30</v>
      </c>
      <c r="D42" s="32"/>
      <c r="E42" s="9">
        <v>3000</v>
      </c>
      <c r="F42" s="9"/>
      <c r="G42" s="8">
        <f t="shared" si="10"/>
        <v>3000</v>
      </c>
      <c r="H42" s="9"/>
      <c r="I42" s="9"/>
      <c r="J42" s="8">
        <f t="shared" si="8"/>
        <v>0</v>
      </c>
      <c r="K42" s="8">
        <f t="shared" si="9"/>
        <v>0</v>
      </c>
    </row>
    <row r="43" spans="1:11" ht="136.5" customHeight="1">
      <c r="A43" s="32">
        <v>7</v>
      </c>
      <c r="B43" s="10"/>
      <c r="C43" s="18" t="s">
        <v>163</v>
      </c>
      <c r="D43" s="13" t="s">
        <v>11</v>
      </c>
      <c r="E43" s="8">
        <f>SUM(E44:E47)</f>
        <v>67033.56</v>
      </c>
      <c r="F43" s="8">
        <f>SUM(F44:F47)</f>
        <v>4000</v>
      </c>
      <c r="G43" s="8">
        <f t="shared" si="10"/>
        <v>71033.56</v>
      </c>
      <c r="H43" s="8">
        <f>SUM(H44:H47)</f>
        <v>51891.86</v>
      </c>
      <c r="I43" s="8">
        <f>SUM(I44:I47)</f>
        <v>0</v>
      </c>
      <c r="J43" s="8">
        <f t="shared" si="8"/>
        <v>51891.86</v>
      </c>
      <c r="K43" s="8">
        <f t="shared" si="9"/>
        <v>73.052596547322139</v>
      </c>
    </row>
    <row r="44" spans="1:11" ht="63" customHeight="1">
      <c r="A44" s="32"/>
      <c r="B44" s="10" t="s">
        <v>39</v>
      </c>
      <c r="C44" s="1" t="s">
        <v>29</v>
      </c>
      <c r="D44" s="33" t="s">
        <v>1</v>
      </c>
      <c r="E44" s="9">
        <f>55224.06+5022.5+1500</f>
        <v>61746.559999999998</v>
      </c>
      <c r="F44" s="9"/>
      <c r="G44" s="8">
        <f t="shared" si="10"/>
        <v>61746.559999999998</v>
      </c>
      <c r="H44" s="9">
        <f>4346.5+1114.5+490.6+835.8+314.5+744+9233.4+302.5+2722.4+5003.5+722.3+270.4+1170+579.6+1623.1+969+862.4+73.1+7.8+1085+236.9+17022.8</f>
        <v>49730.1</v>
      </c>
      <c r="I44" s="9"/>
      <c r="J44" s="8">
        <f t="shared" si="8"/>
        <v>49730.1</v>
      </c>
      <c r="K44" s="8">
        <f t="shared" si="9"/>
        <v>80.53906160926212</v>
      </c>
    </row>
    <row r="45" spans="1:11" ht="62.25" customHeight="1">
      <c r="A45" s="32"/>
      <c r="B45" s="10" t="s">
        <v>38</v>
      </c>
      <c r="C45" s="1" t="s">
        <v>53</v>
      </c>
      <c r="D45" s="34"/>
      <c r="E45" s="9">
        <v>287</v>
      </c>
      <c r="F45" s="9"/>
      <c r="G45" s="8">
        <f t="shared" si="10"/>
        <v>287</v>
      </c>
      <c r="H45" s="9">
        <f>2+1.4+16.5+8.5+36.1+3.2+2.4+9.04+4.2+1.5+5.62+0.6+0.4+3.4+2.4+0.9+3.6+0.4+0.9+2.3+0.4</f>
        <v>105.76000000000005</v>
      </c>
      <c r="I45" s="9"/>
      <c r="J45" s="8">
        <f t="shared" si="8"/>
        <v>105.76000000000005</v>
      </c>
      <c r="K45" s="8">
        <f t="shared" si="9"/>
        <v>36.850174216027895</v>
      </c>
    </row>
    <row r="46" spans="1:11" ht="55.5" customHeight="1">
      <c r="A46" s="32"/>
      <c r="B46" s="10" t="s">
        <v>38</v>
      </c>
      <c r="C46" s="1" t="s">
        <v>206</v>
      </c>
      <c r="D46" s="35"/>
      <c r="E46" s="9">
        <v>5000</v>
      </c>
      <c r="F46" s="9"/>
      <c r="G46" s="8">
        <f t="shared" si="10"/>
        <v>5000</v>
      </c>
      <c r="H46" s="9">
        <f>438.4+914.6+347.2+237.2+118.6</f>
        <v>2056</v>
      </c>
      <c r="I46" s="9"/>
      <c r="J46" s="8">
        <f t="shared" si="8"/>
        <v>2056</v>
      </c>
      <c r="K46" s="8">
        <f t="shared" si="9"/>
        <v>41.120000000000005</v>
      </c>
    </row>
    <row r="47" spans="1:11" ht="67.5" customHeight="1">
      <c r="A47" s="32"/>
      <c r="B47" s="10" t="s">
        <v>142</v>
      </c>
      <c r="C47" s="1" t="s">
        <v>143</v>
      </c>
      <c r="D47" s="1" t="s">
        <v>145</v>
      </c>
      <c r="E47" s="9"/>
      <c r="F47" s="9">
        <v>4000</v>
      </c>
      <c r="G47" s="8">
        <f t="shared" si="10"/>
        <v>4000</v>
      </c>
      <c r="H47" s="9"/>
      <c r="I47" s="9"/>
      <c r="J47" s="8">
        <f>H47+I47</f>
        <v>0</v>
      </c>
      <c r="K47" s="8">
        <f t="shared" si="9"/>
        <v>0</v>
      </c>
    </row>
    <row r="48" spans="1:11" ht="126.75" customHeight="1">
      <c r="A48" s="32">
        <v>8</v>
      </c>
      <c r="B48" s="10"/>
      <c r="C48" s="18" t="s">
        <v>95</v>
      </c>
      <c r="D48" s="13" t="s">
        <v>11</v>
      </c>
      <c r="E48" s="8">
        <f>SUM(E49)</f>
        <v>0</v>
      </c>
      <c r="F48" s="8">
        <f>SUM(F49)</f>
        <v>9000</v>
      </c>
      <c r="G48" s="8">
        <f>SUM(E48+F48)</f>
        <v>9000</v>
      </c>
      <c r="H48" s="8">
        <f>SUM(H49)</f>
        <v>0</v>
      </c>
      <c r="I48" s="8">
        <f>SUM(I49)</f>
        <v>3611.6</v>
      </c>
      <c r="J48" s="8">
        <f>SUM(H48+I48)</f>
        <v>3611.6</v>
      </c>
      <c r="K48" s="8">
        <f t="shared" si="9"/>
        <v>40.128888888888888</v>
      </c>
    </row>
    <row r="49" spans="1:11" ht="57.75" customHeight="1">
      <c r="A49" s="32"/>
      <c r="B49" s="10" t="s">
        <v>54</v>
      </c>
      <c r="C49" s="1" t="s">
        <v>30</v>
      </c>
      <c r="D49" s="1" t="s">
        <v>10</v>
      </c>
      <c r="E49" s="9"/>
      <c r="F49" s="9">
        <v>9000</v>
      </c>
      <c r="G49" s="8">
        <f>SUM(E49+F49)</f>
        <v>9000</v>
      </c>
      <c r="H49" s="9"/>
      <c r="I49" s="9">
        <f>2044.5+49+1518.1</f>
        <v>3611.6</v>
      </c>
      <c r="J49" s="8">
        <f>SUM(H49+I49)</f>
        <v>3611.6</v>
      </c>
      <c r="K49" s="8">
        <f t="shared" si="9"/>
        <v>40.128888888888888</v>
      </c>
    </row>
    <row r="50" spans="1:11" ht="78.75" customHeight="1">
      <c r="A50" s="32">
        <v>9</v>
      </c>
      <c r="B50" s="10"/>
      <c r="C50" s="18" t="s">
        <v>96</v>
      </c>
      <c r="D50" s="13" t="s">
        <v>11</v>
      </c>
      <c r="E50" s="8">
        <f>SUM(E51:E52)</f>
        <v>11114.6</v>
      </c>
      <c r="F50" s="8">
        <f>SUM(F51:F52)</f>
        <v>7599.4</v>
      </c>
      <c r="G50" s="8">
        <f>E50+F50</f>
        <v>18714</v>
      </c>
      <c r="H50" s="8">
        <f>SUM(H51:H52)</f>
        <v>3394.2999999999997</v>
      </c>
      <c r="I50" s="8">
        <f>SUM(I51:I52)</f>
        <v>4870.6000000000004</v>
      </c>
      <c r="J50" s="8">
        <f>H50+I50</f>
        <v>8264.9</v>
      </c>
      <c r="K50" s="8">
        <f t="shared" si="9"/>
        <v>44.164262049802282</v>
      </c>
    </row>
    <row r="51" spans="1:11" ht="69" customHeight="1">
      <c r="A51" s="32"/>
      <c r="B51" s="10" t="s">
        <v>40</v>
      </c>
      <c r="C51" s="1" t="s">
        <v>46</v>
      </c>
      <c r="D51" s="33" t="s">
        <v>16</v>
      </c>
      <c r="E51" s="9">
        <f>10000+285-365+365-178.9-120.5+1129</f>
        <v>11114.6</v>
      </c>
      <c r="F51" s="9">
        <f>4700-2400+178.9+120.5+800</f>
        <v>3399.4</v>
      </c>
      <c r="G51" s="8">
        <f>E51+F51</f>
        <v>14514</v>
      </c>
      <c r="H51" s="9">
        <f>830.9+72+14+98.8+50+176.3+525+83+50+288.8+120+182+254.1+55+90+30+131.4+118+225</f>
        <v>3394.2999999999997</v>
      </c>
      <c r="I51" s="9">
        <f>588.9+288.7+1291.1+299.5+2.4</f>
        <v>2470.6</v>
      </c>
      <c r="J51" s="8">
        <f>H51+I51</f>
        <v>5864.9</v>
      </c>
      <c r="K51" s="8">
        <f t="shared" si="9"/>
        <v>40.408571034862888</v>
      </c>
    </row>
    <row r="52" spans="1:11" ht="59.25" customHeight="1">
      <c r="A52" s="32"/>
      <c r="B52" s="10" t="s">
        <v>201</v>
      </c>
      <c r="C52" s="1" t="s">
        <v>53</v>
      </c>
      <c r="D52" s="35"/>
      <c r="E52" s="9">
        <f>365-365</f>
        <v>0</v>
      </c>
      <c r="F52" s="9">
        <f>2400+1800</f>
        <v>4200</v>
      </c>
      <c r="G52" s="8">
        <f>E52+F52</f>
        <v>4200</v>
      </c>
      <c r="H52" s="9"/>
      <c r="I52" s="9">
        <v>2400</v>
      </c>
      <c r="J52" s="8">
        <f>H52+I52</f>
        <v>2400</v>
      </c>
      <c r="K52" s="8">
        <f t="shared" si="9"/>
        <v>57.142857142857139</v>
      </c>
    </row>
    <row r="53" spans="1:11" ht="89.25" customHeight="1">
      <c r="A53" s="33">
        <v>10</v>
      </c>
      <c r="B53" s="10"/>
      <c r="C53" s="18" t="s">
        <v>187</v>
      </c>
      <c r="D53" s="13" t="s">
        <v>11</v>
      </c>
      <c r="E53" s="8">
        <f>SUM(E54:E65)</f>
        <v>21989.5</v>
      </c>
      <c r="F53" s="8">
        <f>SUM(F54:F65)</f>
        <v>46900</v>
      </c>
      <c r="G53" s="8">
        <f>E53+F53</f>
        <v>68889.5</v>
      </c>
      <c r="H53" s="8">
        <f>SUM(H54:H65)</f>
        <v>9893.0999999999985</v>
      </c>
      <c r="I53" s="8">
        <f>SUM(I54:I65)</f>
        <v>6763.5</v>
      </c>
      <c r="J53" s="8">
        <f>H53+I53</f>
        <v>16656.599999999999</v>
      </c>
      <c r="K53" s="8">
        <f t="shared" si="9"/>
        <v>24.178720995216977</v>
      </c>
    </row>
    <row r="54" spans="1:11" ht="60" customHeight="1">
      <c r="A54" s="34"/>
      <c r="B54" s="10" t="s">
        <v>97</v>
      </c>
      <c r="C54" s="1" t="s">
        <v>98</v>
      </c>
      <c r="D54" s="32" t="s">
        <v>99</v>
      </c>
      <c r="E54" s="9">
        <f>4200-2000</f>
        <v>2200</v>
      </c>
      <c r="F54" s="9">
        <v>1500</v>
      </c>
      <c r="G54" s="8">
        <f>E54+F54</f>
        <v>3700</v>
      </c>
      <c r="H54" s="9">
        <f>193.5+21+51.3+70.2+12.5+122+156.9</f>
        <v>627.4</v>
      </c>
      <c r="I54" s="9">
        <f>508+250</f>
        <v>758</v>
      </c>
      <c r="J54" s="8">
        <f t="shared" ref="J54:J65" si="11">H54+I54</f>
        <v>1385.4</v>
      </c>
      <c r="K54" s="8">
        <f t="shared" ref="K54:K65" si="12">J54/G54*100</f>
        <v>37.443243243243245</v>
      </c>
    </row>
    <row r="55" spans="1:11" ht="62.25" customHeight="1">
      <c r="A55" s="34"/>
      <c r="B55" s="10" t="s">
        <v>100</v>
      </c>
      <c r="C55" s="1" t="s">
        <v>101</v>
      </c>
      <c r="D55" s="32"/>
      <c r="E55" s="9">
        <f>3100-728.9</f>
        <v>2371.1</v>
      </c>
      <c r="F55" s="9">
        <v>1000</v>
      </c>
      <c r="G55" s="8">
        <f t="shared" ref="G55:G65" si="13">E55+F55</f>
        <v>3371.1</v>
      </c>
      <c r="H55" s="9">
        <f>17.4+63.7+99.5+25.9+62.3+47.2+122.7+228.5</f>
        <v>667.2</v>
      </c>
      <c r="I55" s="9">
        <f>486.5</f>
        <v>486.5</v>
      </c>
      <c r="J55" s="8">
        <f t="shared" si="11"/>
        <v>1153.7</v>
      </c>
      <c r="K55" s="8">
        <f t="shared" si="12"/>
        <v>34.223250571030228</v>
      </c>
    </row>
    <row r="56" spans="1:11" ht="63.75" customHeight="1">
      <c r="A56" s="34"/>
      <c r="B56" s="10" t="s">
        <v>102</v>
      </c>
      <c r="C56" s="1" t="s">
        <v>103</v>
      </c>
      <c r="D56" s="32"/>
      <c r="E56" s="9">
        <f>266.2+81.78+400</f>
        <v>747.98</v>
      </c>
      <c r="F56" s="9"/>
      <c r="G56" s="8">
        <f t="shared" si="13"/>
        <v>747.98</v>
      </c>
      <c r="H56" s="9">
        <f>5+27.5+4.2+27.3+35+14.8+108.5+7</f>
        <v>229.3</v>
      </c>
      <c r="I56" s="9"/>
      <c r="J56" s="8">
        <f t="shared" si="11"/>
        <v>229.3</v>
      </c>
      <c r="K56" s="8">
        <f t="shared" si="12"/>
        <v>30.655899890371401</v>
      </c>
    </row>
    <row r="57" spans="1:11" ht="91.5" customHeight="1">
      <c r="A57" s="34"/>
      <c r="B57" s="10" t="s">
        <v>41</v>
      </c>
      <c r="C57" s="1" t="s">
        <v>104</v>
      </c>
      <c r="D57" s="32"/>
      <c r="E57" s="9">
        <v>474</v>
      </c>
      <c r="F57" s="9"/>
      <c r="G57" s="8">
        <f t="shared" si="13"/>
        <v>474</v>
      </c>
      <c r="H57" s="9">
        <f>22.2+21.8+6+3.2+4.7+5.9+21.7+15+17.4+7.4+26+2.1+15.4+4.2+72.8+12.2</f>
        <v>258</v>
      </c>
      <c r="I57" s="9"/>
      <c r="J57" s="8">
        <f t="shared" si="11"/>
        <v>258</v>
      </c>
      <c r="K57" s="8">
        <f>J57/G57*100</f>
        <v>54.430379746835442</v>
      </c>
    </row>
    <row r="58" spans="1:11" ht="72.75" customHeight="1">
      <c r="A58" s="34"/>
      <c r="B58" s="10" t="s">
        <v>105</v>
      </c>
      <c r="C58" s="1" t="s">
        <v>106</v>
      </c>
      <c r="D58" s="32"/>
      <c r="E58" s="9">
        <f>649.3+100</f>
        <v>749.3</v>
      </c>
      <c r="F58" s="9"/>
      <c r="G58" s="8">
        <f t="shared" si="13"/>
        <v>749.3</v>
      </c>
      <c r="H58" s="9">
        <f>5.8+2.8+50.8+18.6+7.9+26.9+22+3+27+48+14+4.9+34.6</f>
        <v>266.3</v>
      </c>
      <c r="I58" s="9"/>
      <c r="J58" s="8">
        <f t="shared" si="11"/>
        <v>266.3</v>
      </c>
      <c r="K58" s="8">
        <f t="shared" si="12"/>
        <v>35.539837181369279</v>
      </c>
    </row>
    <row r="59" spans="1:11" ht="60" customHeight="1">
      <c r="A59" s="34"/>
      <c r="B59" s="10" t="s">
        <v>188</v>
      </c>
      <c r="C59" s="1" t="s">
        <v>191</v>
      </c>
      <c r="D59" s="32"/>
      <c r="E59" s="9">
        <f>856.7</f>
        <v>856.7</v>
      </c>
      <c r="F59" s="9"/>
      <c r="G59" s="8">
        <f t="shared" si="13"/>
        <v>856.7</v>
      </c>
      <c r="H59" s="9">
        <f>87+194.3+575.4</f>
        <v>856.7</v>
      </c>
      <c r="I59" s="9"/>
      <c r="J59" s="8">
        <f t="shared" si="11"/>
        <v>856.7</v>
      </c>
      <c r="K59" s="8">
        <f t="shared" si="12"/>
        <v>100</v>
      </c>
    </row>
    <row r="60" spans="1:11" ht="57.75" customHeight="1">
      <c r="A60" s="34"/>
      <c r="B60" s="10" t="s">
        <v>189</v>
      </c>
      <c r="C60" s="1" t="s">
        <v>192</v>
      </c>
      <c r="D60" s="32"/>
      <c r="E60" s="9">
        <f>1689.5</f>
        <v>1689.5</v>
      </c>
      <c r="F60" s="9"/>
      <c r="G60" s="8">
        <f t="shared" si="13"/>
        <v>1689.5</v>
      </c>
      <c r="H60" s="9">
        <f>946.6+51.4+309.9+381.6</f>
        <v>1689.5</v>
      </c>
      <c r="I60" s="9"/>
      <c r="J60" s="8">
        <f t="shared" si="11"/>
        <v>1689.5</v>
      </c>
      <c r="K60" s="8">
        <f t="shared" si="12"/>
        <v>100</v>
      </c>
    </row>
    <row r="61" spans="1:11" ht="50.25" customHeight="1">
      <c r="A61" s="34"/>
      <c r="B61" s="10" t="s">
        <v>190</v>
      </c>
      <c r="C61" s="1" t="s">
        <v>193</v>
      </c>
      <c r="D61" s="32"/>
      <c r="E61" s="9">
        <f>81.2</f>
        <v>81.2</v>
      </c>
      <c r="F61" s="9"/>
      <c r="G61" s="8">
        <f t="shared" si="13"/>
        <v>81.2</v>
      </c>
      <c r="H61" s="9">
        <f>40.6+40.6</f>
        <v>81.2</v>
      </c>
      <c r="I61" s="9"/>
      <c r="J61" s="8">
        <f t="shared" si="11"/>
        <v>81.2</v>
      </c>
      <c r="K61" s="8">
        <f t="shared" si="12"/>
        <v>100</v>
      </c>
    </row>
    <row r="62" spans="1:11" ht="58.5" customHeight="1">
      <c r="A62" s="34"/>
      <c r="B62" s="10" t="s">
        <v>202</v>
      </c>
      <c r="C62" s="1" t="s">
        <v>62</v>
      </c>
      <c r="D62" s="32"/>
      <c r="E62" s="9">
        <v>3000</v>
      </c>
      <c r="F62" s="9"/>
      <c r="G62" s="8">
        <f t="shared" si="13"/>
        <v>3000</v>
      </c>
      <c r="H62" s="9">
        <f>3000</f>
        <v>3000</v>
      </c>
      <c r="I62" s="9"/>
      <c r="J62" s="8">
        <f t="shared" si="11"/>
        <v>3000</v>
      </c>
      <c r="K62" s="8">
        <f t="shared" si="12"/>
        <v>100</v>
      </c>
    </row>
    <row r="63" spans="1:11" ht="56.25" customHeight="1">
      <c r="A63" s="34"/>
      <c r="B63" s="10" t="s">
        <v>196</v>
      </c>
      <c r="C63" s="22" t="s">
        <v>30</v>
      </c>
      <c r="D63" s="32"/>
      <c r="E63" s="9"/>
      <c r="F63" s="9">
        <f>3000+27000+11100+2400</f>
        <v>43500</v>
      </c>
      <c r="G63" s="8">
        <f t="shared" si="13"/>
        <v>43500</v>
      </c>
      <c r="H63" s="9"/>
      <c r="I63" s="9">
        <f>3900+900</f>
        <v>4800</v>
      </c>
      <c r="J63" s="8">
        <f t="shared" si="11"/>
        <v>4800</v>
      </c>
      <c r="K63" s="8">
        <f t="shared" si="12"/>
        <v>11.03448275862069</v>
      </c>
    </row>
    <row r="64" spans="1:11" ht="63" customHeight="1">
      <c r="A64" s="34"/>
      <c r="B64" s="10" t="s">
        <v>42</v>
      </c>
      <c r="C64" s="1" t="s">
        <v>31</v>
      </c>
      <c r="D64" s="32"/>
      <c r="E64" s="9">
        <f>9800+19.72</f>
        <v>9819.7199999999993</v>
      </c>
      <c r="F64" s="9"/>
      <c r="G64" s="8">
        <f t="shared" si="13"/>
        <v>9819.7199999999993</v>
      </c>
      <c r="H64" s="9">
        <f>12.8-12.8+12.8+7+726.7+312.7+1158.3</f>
        <v>2217.5</v>
      </c>
      <c r="I64" s="9"/>
      <c r="J64" s="8">
        <f t="shared" si="11"/>
        <v>2217.5</v>
      </c>
      <c r="K64" s="8">
        <f t="shared" si="12"/>
        <v>22.582110284203623</v>
      </c>
    </row>
    <row r="65" spans="1:11" ht="66.75" customHeight="1">
      <c r="A65" s="35"/>
      <c r="B65" s="10" t="s">
        <v>52</v>
      </c>
      <c r="C65" s="1" t="s">
        <v>93</v>
      </c>
      <c r="D65" s="1" t="s">
        <v>9</v>
      </c>
      <c r="E65" s="9"/>
      <c r="F65" s="9">
        <f>900</f>
        <v>900</v>
      </c>
      <c r="G65" s="8">
        <f t="shared" si="13"/>
        <v>900</v>
      </c>
      <c r="H65" s="9"/>
      <c r="I65" s="9">
        <v>719</v>
      </c>
      <c r="J65" s="8">
        <f t="shared" si="11"/>
        <v>719</v>
      </c>
      <c r="K65" s="8">
        <f t="shared" si="12"/>
        <v>79.888888888888886</v>
      </c>
    </row>
    <row r="66" spans="1:11" ht="84" customHeight="1">
      <c r="A66" s="32">
        <v>11</v>
      </c>
      <c r="B66" s="1"/>
      <c r="C66" s="18" t="s">
        <v>107</v>
      </c>
      <c r="D66" s="13" t="s">
        <v>11</v>
      </c>
      <c r="E66" s="8">
        <f>SUM(E67)</f>
        <v>2328.8000000000002</v>
      </c>
      <c r="F66" s="8">
        <f>SUM(F67)</f>
        <v>0</v>
      </c>
      <c r="G66" s="8">
        <f>E66+F66</f>
        <v>2328.8000000000002</v>
      </c>
      <c r="H66" s="8">
        <f>SUM(H67)</f>
        <v>1487.5</v>
      </c>
      <c r="I66" s="8">
        <f>SUM(I67)</f>
        <v>0</v>
      </c>
      <c r="J66" s="8">
        <f t="shared" ref="J66:J87" si="14">H66+I66</f>
        <v>1487.5</v>
      </c>
      <c r="K66" s="8">
        <f t="shared" ref="K66:K76" si="15">J66/G66*100</f>
        <v>63.874098248024723</v>
      </c>
    </row>
    <row r="67" spans="1:11" ht="61.5" customHeight="1">
      <c r="A67" s="32"/>
      <c r="B67" s="10" t="s">
        <v>108</v>
      </c>
      <c r="C67" s="1" t="s">
        <v>109</v>
      </c>
      <c r="D67" s="1" t="s">
        <v>99</v>
      </c>
      <c r="E67" s="9">
        <v>2328.8000000000002</v>
      </c>
      <c r="F67" s="9"/>
      <c r="G67" s="8">
        <f t="shared" ref="G67:G80" si="16">E67+F67</f>
        <v>2328.8000000000002</v>
      </c>
      <c r="H67" s="9">
        <f>173.7+23.3+210+74.5+1.7+22+87+11.6+140.7+61.7+14.9+307.7+192.6+7.4+27.4+94.5+36.8</f>
        <v>1487.5</v>
      </c>
      <c r="I67" s="9"/>
      <c r="J67" s="8">
        <f t="shared" si="14"/>
        <v>1487.5</v>
      </c>
      <c r="K67" s="8">
        <f t="shared" si="15"/>
        <v>63.874098248024723</v>
      </c>
    </row>
    <row r="68" spans="1:11" ht="101.25" customHeight="1">
      <c r="A68" s="32">
        <v>12</v>
      </c>
      <c r="B68" s="10"/>
      <c r="C68" s="19" t="s">
        <v>159</v>
      </c>
      <c r="D68" s="13" t="s">
        <v>11</v>
      </c>
      <c r="E68" s="8">
        <f>SUM(E69:E70)</f>
        <v>50</v>
      </c>
      <c r="F68" s="8">
        <f>SUM(F69:F70)</f>
        <v>100</v>
      </c>
      <c r="G68" s="8">
        <f t="shared" si="16"/>
        <v>150</v>
      </c>
      <c r="H68" s="8">
        <f>SUM(H69:H70)</f>
        <v>0</v>
      </c>
      <c r="I68" s="8">
        <f>SUM(I69:I70)</f>
        <v>0</v>
      </c>
      <c r="J68" s="8">
        <f t="shared" ref="J68:J77" si="17">H68+I68</f>
        <v>0</v>
      </c>
      <c r="K68" s="8">
        <f>J68/G68*100</f>
        <v>0</v>
      </c>
    </row>
    <row r="69" spans="1:11" ht="94.5" customHeight="1">
      <c r="A69" s="32"/>
      <c r="B69" s="10" t="s">
        <v>160</v>
      </c>
      <c r="C69" s="26" t="s">
        <v>69</v>
      </c>
      <c r="D69" s="1" t="s">
        <v>208</v>
      </c>
      <c r="E69" s="9">
        <v>50</v>
      </c>
      <c r="F69" s="9"/>
      <c r="G69" s="8">
        <f t="shared" si="16"/>
        <v>50</v>
      </c>
      <c r="H69" s="8"/>
      <c r="I69" s="8"/>
      <c r="J69" s="8">
        <f t="shared" si="17"/>
        <v>0</v>
      </c>
      <c r="K69" s="8">
        <f t="shared" si="15"/>
        <v>0</v>
      </c>
    </row>
    <row r="70" spans="1:11" ht="50.25" customHeight="1">
      <c r="A70" s="32"/>
      <c r="B70" s="20" t="s">
        <v>127</v>
      </c>
      <c r="C70" s="26" t="s">
        <v>69</v>
      </c>
      <c r="D70" s="1" t="s">
        <v>9</v>
      </c>
      <c r="E70" s="9"/>
      <c r="F70" s="9">
        <v>100</v>
      </c>
      <c r="G70" s="8">
        <f t="shared" si="16"/>
        <v>100</v>
      </c>
      <c r="H70" s="9"/>
      <c r="I70" s="9"/>
      <c r="J70" s="8">
        <f t="shared" si="17"/>
        <v>0</v>
      </c>
      <c r="K70" s="8">
        <f t="shared" si="15"/>
        <v>0</v>
      </c>
    </row>
    <row r="71" spans="1:11" ht="86.25" customHeight="1">
      <c r="A71" s="32">
        <v>13</v>
      </c>
      <c r="B71" s="10"/>
      <c r="C71" s="18" t="s">
        <v>123</v>
      </c>
      <c r="D71" s="13" t="s">
        <v>11</v>
      </c>
      <c r="E71" s="8">
        <f>SUM(E72:E76)</f>
        <v>3550</v>
      </c>
      <c r="F71" s="8">
        <f>SUM(F72:F76)</f>
        <v>83200</v>
      </c>
      <c r="G71" s="8">
        <f t="shared" si="16"/>
        <v>86750</v>
      </c>
      <c r="H71" s="8">
        <f>SUM(H72:H76)</f>
        <v>1846.48</v>
      </c>
      <c r="I71" s="8">
        <f>SUM(I72:I76)</f>
        <v>33586.199999999997</v>
      </c>
      <c r="J71" s="8">
        <f>H71+I71</f>
        <v>35432.68</v>
      </c>
      <c r="K71" s="8">
        <f>J71/G71*100</f>
        <v>40.8445878962536</v>
      </c>
    </row>
    <row r="72" spans="1:11" ht="47.25" customHeight="1">
      <c r="A72" s="32"/>
      <c r="B72" s="10" t="s">
        <v>165</v>
      </c>
      <c r="C72" s="1" t="s">
        <v>53</v>
      </c>
      <c r="D72" s="33" t="s">
        <v>208</v>
      </c>
      <c r="E72" s="8"/>
      <c r="F72" s="9">
        <v>24795.7</v>
      </c>
      <c r="G72" s="8">
        <f t="shared" si="16"/>
        <v>24795.7</v>
      </c>
      <c r="H72" s="8"/>
      <c r="I72" s="9">
        <f>355.8+234.5+869.6+350+999.7</f>
        <v>2809.6000000000004</v>
      </c>
      <c r="J72" s="8">
        <f t="shared" si="17"/>
        <v>2809.6000000000004</v>
      </c>
      <c r="K72" s="8">
        <f t="shared" si="15"/>
        <v>11.330996906721731</v>
      </c>
    </row>
    <row r="73" spans="1:11" ht="46.5" customHeight="1">
      <c r="A73" s="32"/>
      <c r="B73" s="29" t="s">
        <v>211</v>
      </c>
      <c r="C73" s="28" t="s">
        <v>183</v>
      </c>
      <c r="D73" s="34"/>
      <c r="E73" s="8"/>
      <c r="F73" s="9">
        <v>5404.3</v>
      </c>
      <c r="G73" s="8">
        <f t="shared" si="16"/>
        <v>5404.3</v>
      </c>
      <c r="H73" s="8"/>
      <c r="I73" s="9">
        <f>612.6+294.3</f>
        <v>906.90000000000009</v>
      </c>
      <c r="J73" s="8">
        <f t="shared" si="17"/>
        <v>906.90000000000009</v>
      </c>
      <c r="K73" s="8">
        <f t="shared" si="15"/>
        <v>16.781081731214034</v>
      </c>
    </row>
    <row r="74" spans="1:11" ht="45" customHeight="1">
      <c r="A74" s="32"/>
      <c r="B74" s="10" t="s">
        <v>43</v>
      </c>
      <c r="C74" s="1" t="s">
        <v>55</v>
      </c>
      <c r="D74" s="35"/>
      <c r="E74" s="9">
        <f>6550-2500-500</f>
        <v>3550</v>
      </c>
      <c r="F74" s="9">
        <f>30000-20000-10000</f>
        <v>0</v>
      </c>
      <c r="G74" s="8">
        <f t="shared" si="16"/>
        <v>3550</v>
      </c>
      <c r="H74" s="9">
        <f>180.8+253.7+35.4+33.8+254.7+17.3+85.54+62.14+49.9+319.8+47.9+203.2+58.3+37.7+11.3+195</f>
        <v>1846.48</v>
      </c>
      <c r="I74" s="9"/>
      <c r="J74" s="8">
        <f t="shared" si="17"/>
        <v>1846.48</v>
      </c>
      <c r="K74" s="8">
        <f t="shared" si="15"/>
        <v>52.013521126760565</v>
      </c>
    </row>
    <row r="75" spans="1:11" ht="46.5" customHeight="1">
      <c r="A75" s="32"/>
      <c r="B75" s="10" t="s">
        <v>207</v>
      </c>
      <c r="C75" s="1" t="s">
        <v>55</v>
      </c>
      <c r="D75" s="27" t="s">
        <v>99</v>
      </c>
      <c r="E75" s="9"/>
      <c r="F75" s="9">
        <f>10100-405.994</f>
        <v>9694.0059999999994</v>
      </c>
      <c r="G75" s="8">
        <f t="shared" si="16"/>
        <v>9694.0059999999994</v>
      </c>
      <c r="H75" s="9"/>
      <c r="I75" s="9"/>
      <c r="J75" s="8">
        <f t="shared" si="17"/>
        <v>0</v>
      </c>
      <c r="K75" s="8">
        <f t="shared" si="15"/>
        <v>0</v>
      </c>
    </row>
    <row r="76" spans="1:11" ht="52.5" customHeight="1">
      <c r="A76" s="32"/>
      <c r="B76" s="10" t="s">
        <v>176</v>
      </c>
      <c r="C76" s="1" t="s">
        <v>55</v>
      </c>
      <c r="D76" s="1" t="s">
        <v>9</v>
      </c>
      <c r="E76" s="9"/>
      <c r="F76" s="9">
        <f>30000+12500-10100+10905.994</f>
        <v>43305.993999999999</v>
      </c>
      <c r="G76" s="8">
        <f t="shared" si="16"/>
        <v>43305.993999999999</v>
      </c>
      <c r="H76" s="9"/>
      <c r="I76" s="9">
        <f>4000+2000-0.8+6057.9+12269.8+488.3+310.6+4025+0.5+363.5+354.9</f>
        <v>29869.699999999997</v>
      </c>
      <c r="J76" s="8">
        <f t="shared" si="17"/>
        <v>29869.699999999997</v>
      </c>
      <c r="K76" s="8">
        <f t="shared" si="15"/>
        <v>68.973592893399456</v>
      </c>
    </row>
    <row r="77" spans="1:11" ht="81" customHeight="1">
      <c r="A77" s="32">
        <v>14</v>
      </c>
      <c r="B77" s="10"/>
      <c r="C77" s="18" t="s">
        <v>122</v>
      </c>
      <c r="D77" s="13" t="s">
        <v>11</v>
      </c>
      <c r="E77" s="8">
        <f>SUM(E78:E80)</f>
        <v>1200</v>
      </c>
      <c r="F77" s="8">
        <f>SUM(F78:F80)</f>
        <v>23250</v>
      </c>
      <c r="G77" s="8">
        <f t="shared" si="16"/>
        <v>24450</v>
      </c>
      <c r="H77" s="8">
        <f>SUM(H78:H80)</f>
        <v>0</v>
      </c>
      <c r="I77" s="8">
        <f>SUM(I78:I80)</f>
        <v>7132</v>
      </c>
      <c r="J77" s="8">
        <f t="shared" si="17"/>
        <v>7132</v>
      </c>
      <c r="K77" s="8">
        <f t="shared" ref="K77:K84" si="18">J77/G77*100</f>
        <v>29.169734151329241</v>
      </c>
    </row>
    <row r="78" spans="1:11" ht="48" customHeight="1">
      <c r="A78" s="32"/>
      <c r="B78" s="10">
        <v>1617340</v>
      </c>
      <c r="C78" s="1" t="s">
        <v>32</v>
      </c>
      <c r="D78" s="32" t="s">
        <v>17</v>
      </c>
      <c r="E78" s="9">
        <f>450+200</f>
        <v>650</v>
      </c>
      <c r="F78" s="9">
        <f>23450-4392</f>
        <v>19058</v>
      </c>
      <c r="G78" s="8">
        <f t="shared" si="16"/>
        <v>19708</v>
      </c>
      <c r="H78" s="9"/>
      <c r="I78" s="9">
        <f>518.9+3.3+955.9+19+217+975.7+299.2+1511.8+439.2</f>
        <v>4940</v>
      </c>
      <c r="J78" s="8">
        <f t="shared" si="14"/>
        <v>4940</v>
      </c>
      <c r="K78" s="8">
        <f t="shared" si="18"/>
        <v>25.065963060686013</v>
      </c>
    </row>
    <row r="79" spans="1:11" ht="55.5" customHeight="1">
      <c r="A79" s="32"/>
      <c r="B79" s="10" t="s">
        <v>205</v>
      </c>
      <c r="C79" s="23" t="s">
        <v>183</v>
      </c>
      <c r="D79" s="32"/>
      <c r="E79" s="9"/>
      <c r="F79" s="9">
        <f>4192</f>
        <v>4192</v>
      </c>
      <c r="G79" s="8">
        <f t="shared" si="16"/>
        <v>4192</v>
      </c>
      <c r="H79" s="9"/>
      <c r="I79" s="9">
        <f>192+2000</f>
        <v>2192</v>
      </c>
      <c r="J79" s="8">
        <f t="shared" si="14"/>
        <v>2192</v>
      </c>
      <c r="K79" s="8">
        <f t="shared" si="18"/>
        <v>52.290076335877863</v>
      </c>
    </row>
    <row r="80" spans="1:11" ht="54" customHeight="1">
      <c r="A80" s="32"/>
      <c r="B80" s="10" t="s">
        <v>135</v>
      </c>
      <c r="C80" s="1" t="s">
        <v>139</v>
      </c>
      <c r="D80" s="32"/>
      <c r="E80" s="9">
        <v>550</v>
      </c>
      <c r="F80" s="9"/>
      <c r="G80" s="8">
        <f t="shared" si="16"/>
        <v>550</v>
      </c>
      <c r="H80" s="9"/>
      <c r="I80" s="9"/>
      <c r="J80" s="8">
        <f t="shared" si="14"/>
        <v>0</v>
      </c>
      <c r="K80" s="8">
        <f t="shared" si="18"/>
        <v>0</v>
      </c>
    </row>
    <row r="81" spans="1:11" ht="93" customHeight="1">
      <c r="A81" s="32">
        <v>15</v>
      </c>
      <c r="B81" s="1"/>
      <c r="C81" s="18" t="s">
        <v>124</v>
      </c>
      <c r="D81" s="13" t="s">
        <v>11</v>
      </c>
      <c r="E81" s="8">
        <f>SUM(E82+E83+E84)</f>
        <v>130</v>
      </c>
      <c r="F81" s="8">
        <f>SUM(F82+F83+F84)</f>
        <v>5580</v>
      </c>
      <c r="G81" s="8">
        <f>SUM(E81+F81)</f>
        <v>5710</v>
      </c>
      <c r="H81" s="8">
        <f>SUM(H82+H83+H84)</f>
        <v>24</v>
      </c>
      <c r="I81" s="8">
        <f>SUM(I82+I83+I84)</f>
        <v>2722.2</v>
      </c>
      <c r="J81" s="8">
        <f t="shared" si="14"/>
        <v>2746.2</v>
      </c>
      <c r="K81" s="8">
        <f t="shared" si="18"/>
        <v>48.094570928196148</v>
      </c>
    </row>
    <row r="82" spans="1:11" ht="59.25" customHeight="1">
      <c r="A82" s="32"/>
      <c r="B82" s="10" t="s">
        <v>56</v>
      </c>
      <c r="C82" s="21" t="s">
        <v>33</v>
      </c>
      <c r="D82" s="40" t="s">
        <v>17</v>
      </c>
      <c r="E82" s="9"/>
      <c r="F82" s="9">
        <f>1500-1400</f>
        <v>100</v>
      </c>
      <c r="G82" s="8">
        <f t="shared" ref="G82:G90" si="19">E82+F82</f>
        <v>100</v>
      </c>
      <c r="H82" s="9"/>
      <c r="I82" s="9">
        <f>98.7</f>
        <v>98.7</v>
      </c>
      <c r="J82" s="8">
        <f t="shared" si="14"/>
        <v>98.7</v>
      </c>
      <c r="K82" s="8">
        <f t="shared" si="18"/>
        <v>98.7</v>
      </c>
    </row>
    <row r="83" spans="1:11" ht="48.75" customHeight="1">
      <c r="A83" s="32"/>
      <c r="B83" s="20" t="s">
        <v>125</v>
      </c>
      <c r="C83" s="22" t="s">
        <v>126</v>
      </c>
      <c r="D83" s="40"/>
      <c r="E83" s="9">
        <v>130</v>
      </c>
      <c r="F83" s="9">
        <v>80</v>
      </c>
      <c r="G83" s="8">
        <f t="shared" si="19"/>
        <v>210</v>
      </c>
      <c r="H83" s="9">
        <f>4+4+4+4+4+4</f>
        <v>24</v>
      </c>
      <c r="I83" s="9">
        <f>73.5</f>
        <v>73.5</v>
      </c>
      <c r="J83" s="8">
        <f t="shared" si="14"/>
        <v>97.5</v>
      </c>
      <c r="K83" s="8">
        <f>J83/G83*100</f>
        <v>46.428571428571431</v>
      </c>
    </row>
    <row r="84" spans="1:11" ht="45" customHeight="1">
      <c r="A84" s="32"/>
      <c r="B84" s="10">
        <v>1619770</v>
      </c>
      <c r="C84" s="22" t="s">
        <v>30</v>
      </c>
      <c r="D84" s="40"/>
      <c r="E84" s="9"/>
      <c r="F84" s="9">
        <f>2000+1400+2000</f>
        <v>5400</v>
      </c>
      <c r="G84" s="8">
        <f t="shared" si="19"/>
        <v>5400</v>
      </c>
      <c r="H84" s="9"/>
      <c r="I84" s="9">
        <f>800+1500+250</f>
        <v>2550</v>
      </c>
      <c r="J84" s="8">
        <f t="shared" si="14"/>
        <v>2550</v>
      </c>
      <c r="K84" s="8">
        <f t="shared" si="18"/>
        <v>47.222222222222221</v>
      </c>
    </row>
    <row r="85" spans="1:11" ht="73.5" customHeight="1">
      <c r="A85" s="32">
        <v>16</v>
      </c>
      <c r="B85" s="10"/>
      <c r="C85" s="18" t="s">
        <v>121</v>
      </c>
      <c r="D85" s="13" t="s">
        <v>11</v>
      </c>
      <c r="E85" s="8">
        <f>E86+E87</f>
        <v>0</v>
      </c>
      <c r="F85" s="8">
        <f>F86+F87</f>
        <v>2621.279</v>
      </c>
      <c r="G85" s="8">
        <f>E85+F85</f>
        <v>2621.279</v>
      </c>
      <c r="H85" s="8">
        <f>H86+H87</f>
        <v>0</v>
      </c>
      <c r="I85" s="8">
        <f>I86+I87</f>
        <v>1320</v>
      </c>
      <c r="J85" s="8">
        <f t="shared" si="14"/>
        <v>1320</v>
      </c>
      <c r="K85" s="8">
        <f t="shared" ref="K85:K91" si="20">J85/G85*100</f>
        <v>50.357096669221399</v>
      </c>
    </row>
    <row r="86" spans="1:11" ht="66" customHeight="1">
      <c r="A86" s="32"/>
      <c r="B86" s="10">
        <v>1618821</v>
      </c>
      <c r="C86" s="1" t="s">
        <v>57</v>
      </c>
      <c r="D86" s="32" t="s">
        <v>17</v>
      </c>
      <c r="E86" s="9"/>
      <c r="F86" s="9">
        <f>215+864.316</f>
        <v>1079.316</v>
      </c>
      <c r="G86" s="8">
        <f t="shared" si="19"/>
        <v>1079.316</v>
      </c>
      <c r="H86" s="9"/>
      <c r="I86" s="9"/>
      <c r="J86" s="8">
        <f t="shared" si="14"/>
        <v>0</v>
      </c>
      <c r="K86" s="8">
        <f t="shared" si="20"/>
        <v>0</v>
      </c>
    </row>
    <row r="87" spans="1:11" ht="51.75" customHeight="1">
      <c r="A87" s="32"/>
      <c r="B87" s="10">
        <v>1618831</v>
      </c>
      <c r="C87" s="1" t="s">
        <v>58</v>
      </c>
      <c r="D87" s="32"/>
      <c r="E87" s="9"/>
      <c r="F87" s="9">
        <f>1000+541.963</f>
        <v>1541.963</v>
      </c>
      <c r="G87" s="8">
        <f t="shared" si="19"/>
        <v>1541.963</v>
      </c>
      <c r="H87" s="9"/>
      <c r="I87" s="9">
        <f>150+250+50+200+100+570</f>
        <v>1320</v>
      </c>
      <c r="J87" s="8">
        <f t="shared" si="14"/>
        <v>1320</v>
      </c>
      <c r="K87" s="8">
        <f t="shared" si="20"/>
        <v>85.605166920347642</v>
      </c>
    </row>
    <row r="88" spans="1:11" ht="78.75" customHeight="1">
      <c r="A88" s="32">
        <v>17</v>
      </c>
      <c r="B88" s="10"/>
      <c r="C88" s="18" t="s">
        <v>120</v>
      </c>
      <c r="D88" s="13" t="s">
        <v>11</v>
      </c>
      <c r="E88" s="8">
        <f>SUM(E89:E91)</f>
        <v>624246.4</v>
      </c>
      <c r="F88" s="8">
        <f>SUM(F89:F91)</f>
        <v>158191.5</v>
      </c>
      <c r="G88" s="8">
        <f>E88+F88</f>
        <v>782437.9</v>
      </c>
      <c r="H88" s="8">
        <f>SUM(H89:H91)</f>
        <v>431126.26699999993</v>
      </c>
      <c r="I88" s="8">
        <f>SUM(I89:I91)</f>
        <v>38464.400000000001</v>
      </c>
      <c r="J88" s="8">
        <f>H88+I88</f>
        <v>469590.66699999996</v>
      </c>
      <c r="K88" s="8">
        <f t="shared" si="20"/>
        <v>60.016349795939071</v>
      </c>
    </row>
    <row r="89" spans="1:11" ht="78.75" customHeight="1">
      <c r="A89" s="32"/>
      <c r="B89" s="10" t="s">
        <v>45</v>
      </c>
      <c r="C89" s="31" t="s">
        <v>214</v>
      </c>
      <c r="D89" s="32" t="s">
        <v>172</v>
      </c>
      <c r="E89" s="9">
        <f>240000+150000-108700</f>
        <v>281300</v>
      </c>
      <c r="F89" s="9">
        <f>49000</f>
        <v>49000</v>
      </c>
      <c r="G89" s="8">
        <f t="shared" si="19"/>
        <v>330300</v>
      </c>
      <c r="H89" s="9">
        <f>3157.5+509.4+730.8+593.97+549.8+2237.2+6569.2+604.4+1371.9+3964.8+5055.2+2457.2+7.2+1786.2+12199.1+3237.2+3391.2+675.4+3357.2+3601.8+2795.4+6934.6+1000.2+1109.34+16363.64+375.5+141.3+1813.5+5787.3+8435.6+15917.6+782.5+1122.693+1370.3+594.8+8523.7+3717.9+1466.3+5937.6+667.3+8578+2087.8+317.5+8110+19029.3+415.5+1154.4+6185.6+8647.3+1462.7+582.64+2677.74+973.94+4240.14+1209.24+643.94+42.2+6713.9</f>
        <v>213985.58299999998</v>
      </c>
      <c r="I89" s="9"/>
      <c r="J89" s="8">
        <f>H89+I89</f>
        <v>213985.58299999998</v>
      </c>
      <c r="K89" s="8">
        <f t="shared" si="20"/>
        <v>64.785220405691788</v>
      </c>
    </row>
    <row r="90" spans="1:11" ht="94.5" customHeight="1">
      <c r="A90" s="32"/>
      <c r="B90" s="30" t="s">
        <v>212</v>
      </c>
      <c r="C90" s="31" t="s">
        <v>215</v>
      </c>
      <c r="D90" s="32"/>
      <c r="E90" s="9"/>
      <c r="F90" s="9">
        <v>59700</v>
      </c>
      <c r="G90" s="8">
        <f t="shared" si="19"/>
        <v>59700</v>
      </c>
      <c r="H90" s="9"/>
      <c r="I90" s="9"/>
      <c r="J90" s="8">
        <f>H90+I90</f>
        <v>0</v>
      </c>
      <c r="K90" s="8">
        <f t="shared" si="20"/>
        <v>0</v>
      </c>
    </row>
    <row r="91" spans="1:11" ht="56.25" customHeight="1">
      <c r="A91" s="32"/>
      <c r="B91" s="10" t="s">
        <v>173</v>
      </c>
      <c r="C91" s="1" t="s">
        <v>174</v>
      </c>
      <c r="D91" s="32"/>
      <c r="E91" s="9">
        <f>96047.4+90724+50060+69250+4730+15400+16735</f>
        <v>342946.4</v>
      </c>
      <c r="F91" s="9">
        <f>1200+41121.5+11800+100-4730</f>
        <v>49491.5</v>
      </c>
      <c r="G91" s="8">
        <f>E91+F91</f>
        <v>392437.9</v>
      </c>
      <c r="H91" s="9">
        <f>327.5+77.2+7434.1+22080.6+15814.1+13000+15913.5+5016.2+3000+13299+1447+6500+27.7+8228.8+8825+732.4+6833.7+4999.9+6500+10000+3941.8+6379.94+4000+18570.64+4000+4785.804+6500+8231.8+5125.9+1384.1+4164</f>
        <v>217140.68399999995</v>
      </c>
      <c r="I91" s="9">
        <f>702.4+27762+10000</f>
        <v>38464.400000000001</v>
      </c>
      <c r="J91" s="8">
        <f>H91+I91</f>
        <v>255605.08399999994</v>
      </c>
      <c r="K91" s="8">
        <f t="shared" si="20"/>
        <v>65.132619453931412</v>
      </c>
    </row>
    <row r="92" spans="1:11" ht="61.5" customHeight="1">
      <c r="A92" s="32">
        <v>18</v>
      </c>
      <c r="B92" s="10"/>
      <c r="C92" s="18" t="s">
        <v>164</v>
      </c>
      <c r="D92" s="13" t="s">
        <v>11</v>
      </c>
      <c r="E92" s="8">
        <f>SUM(E93)</f>
        <v>3000</v>
      </c>
      <c r="F92" s="8">
        <f>SUM(F93)</f>
        <v>0</v>
      </c>
      <c r="G92" s="8">
        <f t="shared" ref="G92:G102" si="21">E92+F92</f>
        <v>3000</v>
      </c>
      <c r="H92" s="8">
        <f>SUM(H93)</f>
        <v>1160.134</v>
      </c>
      <c r="I92" s="8">
        <f>SUM(I93)</f>
        <v>0</v>
      </c>
      <c r="J92" s="8">
        <f>H92+I92</f>
        <v>1160.134</v>
      </c>
      <c r="K92" s="8">
        <f>J92/G92*100</f>
        <v>38.671133333333337</v>
      </c>
    </row>
    <row r="93" spans="1:11" ht="58.5" customHeight="1">
      <c r="A93" s="32"/>
      <c r="B93" s="10" t="s">
        <v>132</v>
      </c>
      <c r="C93" s="1" t="s">
        <v>119</v>
      </c>
      <c r="D93" s="1" t="s">
        <v>99</v>
      </c>
      <c r="E93" s="9">
        <v>3000</v>
      </c>
      <c r="F93" s="9"/>
      <c r="G93" s="8">
        <f t="shared" si="21"/>
        <v>3000</v>
      </c>
      <c r="H93" s="9">
        <f>159.9+62.5+110.2+174+134.334+97.9+166.3+255</f>
        <v>1160.134</v>
      </c>
      <c r="I93" s="9"/>
      <c r="J93" s="8">
        <f t="shared" ref="J93:J102" si="22">H93+I93</f>
        <v>1160.134</v>
      </c>
      <c r="K93" s="8">
        <f t="shared" ref="K93:K106" si="23">J93/G93*100</f>
        <v>38.671133333333337</v>
      </c>
    </row>
    <row r="94" spans="1:11" ht="71.25" customHeight="1">
      <c r="A94" s="32">
        <v>19</v>
      </c>
      <c r="B94" s="10"/>
      <c r="C94" s="19" t="s">
        <v>128</v>
      </c>
      <c r="D94" s="13" t="s">
        <v>11</v>
      </c>
      <c r="E94" s="8">
        <f>SUM(E95:E97)</f>
        <v>47730</v>
      </c>
      <c r="F94" s="8">
        <f>SUM(F95:F97)</f>
        <v>238.7</v>
      </c>
      <c r="G94" s="8">
        <f>E94+F94</f>
        <v>47968.7</v>
      </c>
      <c r="H94" s="8">
        <f>SUM(H95:H97)</f>
        <v>17943.400000000001</v>
      </c>
      <c r="I94" s="8">
        <f>SUM(I95:I97)</f>
        <v>238.7</v>
      </c>
      <c r="J94" s="8">
        <f t="shared" si="22"/>
        <v>18182.100000000002</v>
      </c>
      <c r="K94" s="8">
        <f>J94/G94*100</f>
        <v>37.904091626414733</v>
      </c>
    </row>
    <row r="95" spans="1:11" ht="44.25" customHeight="1">
      <c r="A95" s="32"/>
      <c r="B95" s="10">
        <v>2417110</v>
      </c>
      <c r="C95" s="9" t="s">
        <v>129</v>
      </c>
      <c r="D95" s="32" t="s">
        <v>18</v>
      </c>
      <c r="E95" s="9">
        <f>13600+13530</f>
        <v>27130</v>
      </c>
      <c r="F95" s="9"/>
      <c r="G95" s="8">
        <f t="shared" si="21"/>
        <v>27130</v>
      </c>
      <c r="H95" s="9">
        <f>31.9+200.1+203.7+221.7+288.7+1.6+140.9+1200+59.8</f>
        <v>2348.4</v>
      </c>
      <c r="I95" s="9"/>
      <c r="J95" s="8">
        <f t="shared" si="22"/>
        <v>2348.4</v>
      </c>
      <c r="K95" s="8">
        <f>J95/G95*100</f>
        <v>8.6561002580169557</v>
      </c>
    </row>
    <row r="96" spans="1:11" ht="49.5" customHeight="1">
      <c r="A96" s="32"/>
      <c r="B96" s="10" t="s">
        <v>175</v>
      </c>
      <c r="C96" s="22" t="s">
        <v>30</v>
      </c>
      <c r="D96" s="32"/>
      <c r="E96" s="9"/>
      <c r="F96" s="9">
        <v>238.7</v>
      </c>
      <c r="G96" s="8">
        <f t="shared" si="21"/>
        <v>238.7</v>
      </c>
      <c r="H96" s="9"/>
      <c r="I96" s="9">
        <f>238.7</f>
        <v>238.7</v>
      </c>
      <c r="J96" s="8">
        <f t="shared" si="22"/>
        <v>238.7</v>
      </c>
      <c r="K96" s="8">
        <f>J96/G96*100</f>
        <v>100</v>
      </c>
    </row>
    <row r="97" spans="1:11" ht="46.5" customHeight="1">
      <c r="A97" s="32"/>
      <c r="B97" s="20" t="s">
        <v>133</v>
      </c>
      <c r="C97" s="22" t="s">
        <v>134</v>
      </c>
      <c r="D97" s="32"/>
      <c r="E97" s="9">
        <v>20600</v>
      </c>
      <c r="F97" s="9"/>
      <c r="G97" s="8">
        <f t="shared" si="21"/>
        <v>20600</v>
      </c>
      <c r="H97" s="9">
        <f>1500+1295+10000+2800</f>
        <v>15595</v>
      </c>
      <c r="I97" s="8"/>
      <c r="J97" s="8">
        <f t="shared" si="22"/>
        <v>15595</v>
      </c>
      <c r="K97" s="8">
        <f>J97/G97*100</f>
        <v>75.703883495145632</v>
      </c>
    </row>
    <row r="98" spans="1:11" ht="78.75" customHeight="1">
      <c r="A98" s="32">
        <v>20</v>
      </c>
      <c r="B98" s="10"/>
      <c r="C98" s="18" t="s">
        <v>117</v>
      </c>
      <c r="D98" s="13" t="s">
        <v>11</v>
      </c>
      <c r="E98" s="8">
        <f>SUM(E99:E100)</f>
        <v>12666.13</v>
      </c>
      <c r="F98" s="8">
        <f>SUM(F99:F100)</f>
        <v>4000</v>
      </c>
      <c r="G98" s="8">
        <f t="shared" si="21"/>
        <v>16666.129999999997</v>
      </c>
      <c r="H98" s="8">
        <f>SUM(H99:H100)</f>
        <v>1423.1850000000002</v>
      </c>
      <c r="I98" s="8">
        <f>SUM(I99:I100)</f>
        <v>3200</v>
      </c>
      <c r="J98" s="8">
        <f t="shared" si="22"/>
        <v>4623.1850000000004</v>
      </c>
      <c r="K98" s="8">
        <f t="shared" si="23"/>
        <v>27.740003228103955</v>
      </c>
    </row>
    <row r="99" spans="1:11" ht="47.25" customHeight="1">
      <c r="A99" s="32"/>
      <c r="B99" s="10" t="s">
        <v>44</v>
      </c>
      <c r="C99" s="1" t="s">
        <v>59</v>
      </c>
      <c r="D99" s="32" t="s">
        <v>19</v>
      </c>
      <c r="E99" s="9">
        <f>12300+266.13-400</f>
        <v>12166.13</v>
      </c>
      <c r="F99" s="9"/>
      <c r="G99" s="8">
        <f t="shared" si="21"/>
        <v>12166.13</v>
      </c>
      <c r="H99" s="9">
        <f>435.985+238.2+44.1+287.8+40+63.4+149.7+112.4+106-54.4</f>
        <v>1423.1850000000002</v>
      </c>
      <c r="I99" s="9"/>
      <c r="J99" s="8">
        <f t="shared" si="22"/>
        <v>1423.1850000000002</v>
      </c>
      <c r="K99" s="8">
        <f t="shared" si="23"/>
        <v>11.697926949654494</v>
      </c>
    </row>
    <row r="100" spans="1:11" ht="56.25" customHeight="1">
      <c r="A100" s="32"/>
      <c r="B100" s="10" t="s">
        <v>118</v>
      </c>
      <c r="C100" s="1" t="s">
        <v>62</v>
      </c>
      <c r="D100" s="32"/>
      <c r="E100" s="9">
        <v>500</v>
      </c>
      <c r="F100" s="9">
        <v>4000</v>
      </c>
      <c r="G100" s="8">
        <f t="shared" si="21"/>
        <v>4500</v>
      </c>
      <c r="H100" s="9"/>
      <c r="I100" s="9">
        <f>3200</f>
        <v>3200</v>
      </c>
      <c r="J100" s="8">
        <f t="shared" si="22"/>
        <v>3200</v>
      </c>
      <c r="K100" s="8">
        <f t="shared" si="23"/>
        <v>71.111111111111114</v>
      </c>
    </row>
    <row r="101" spans="1:11" ht="59.25" customHeight="1">
      <c r="A101" s="32">
        <v>21</v>
      </c>
      <c r="B101" s="1"/>
      <c r="C101" s="18" t="s">
        <v>116</v>
      </c>
      <c r="D101" s="13" t="s">
        <v>11</v>
      </c>
      <c r="E101" s="8">
        <f>SUM(E102)</f>
        <v>1834.6590000000001</v>
      </c>
      <c r="F101" s="8">
        <f>SUM(F102)</f>
        <v>124</v>
      </c>
      <c r="G101" s="8">
        <f t="shared" si="21"/>
        <v>1958.6590000000001</v>
      </c>
      <c r="H101" s="8">
        <f>SUM(H102)</f>
        <v>244.7</v>
      </c>
      <c r="I101" s="8">
        <f>SUM(I102)</f>
        <v>0</v>
      </c>
      <c r="J101" s="8">
        <f t="shared" si="22"/>
        <v>244.7</v>
      </c>
      <c r="K101" s="8">
        <f t="shared" si="23"/>
        <v>12.493241549447861</v>
      </c>
    </row>
    <row r="102" spans="1:11" ht="45.75" customHeight="1">
      <c r="A102" s="32"/>
      <c r="B102" s="10">
        <v>2617622</v>
      </c>
      <c r="C102" s="1" t="s">
        <v>60</v>
      </c>
      <c r="D102" s="1" t="s">
        <v>20</v>
      </c>
      <c r="E102" s="9">
        <f>1000+244.659+590</f>
        <v>1834.6590000000001</v>
      </c>
      <c r="F102" s="9">
        <f>356-232</f>
        <v>124</v>
      </c>
      <c r="G102" s="8">
        <f t="shared" si="21"/>
        <v>1958.6590000000001</v>
      </c>
      <c r="H102" s="9">
        <f>244.7</f>
        <v>244.7</v>
      </c>
      <c r="I102" s="8"/>
      <c r="J102" s="8">
        <f t="shared" si="22"/>
        <v>244.7</v>
      </c>
      <c r="K102" s="8">
        <f t="shared" si="23"/>
        <v>12.493241549447861</v>
      </c>
    </row>
    <row r="103" spans="1:11" ht="78.75" customHeight="1">
      <c r="A103" s="32">
        <v>22</v>
      </c>
      <c r="B103" s="10"/>
      <c r="C103" s="18" t="s">
        <v>166</v>
      </c>
      <c r="D103" s="13" t="s">
        <v>11</v>
      </c>
      <c r="E103" s="8">
        <f>SUM(E104)</f>
        <v>10000</v>
      </c>
      <c r="F103" s="8">
        <f>SUM(F104)</f>
        <v>0</v>
      </c>
      <c r="G103" s="8">
        <f>SUM(E103+F103)</f>
        <v>10000</v>
      </c>
      <c r="H103" s="8">
        <f>SUM(H104)</f>
        <v>5763.7999999999993</v>
      </c>
      <c r="I103" s="8">
        <f>SUM(I104)</f>
        <v>0</v>
      </c>
      <c r="J103" s="8">
        <f>H103+I103</f>
        <v>5763.7999999999993</v>
      </c>
      <c r="K103" s="8">
        <f>J103/G103*100</f>
        <v>57.637999999999991</v>
      </c>
    </row>
    <row r="104" spans="1:11" ht="57.75" customHeight="1">
      <c r="A104" s="32"/>
      <c r="B104" s="10" t="s">
        <v>167</v>
      </c>
      <c r="C104" s="1" t="s">
        <v>168</v>
      </c>
      <c r="D104" s="1" t="s">
        <v>1</v>
      </c>
      <c r="E104" s="9">
        <f>11000-1000</f>
        <v>10000</v>
      </c>
      <c r="F104" s="9"/>
      <c r="G104" s="8">
        <f t="shared" ref="G104:G112" si="24">E104+F104</f>
        <v>10000</v>
      </c>
      <c r="H104" s="9">
        <f>1396.2+464.6+116.7+387.6+328.1+210.6+45.6+170.3+248.3+242.6+88.1+18+89.1+1128.5+74.7+32.4+722.4</f>
        <v>5763.7999999999993</v>
      </c>
      <c r="I104" s="9"/>
      <c r="J104" s="8">
        <f>H104+I104</f>
        <v>5763.7999999999993</v>
      </c>
      <c r="K104" s="8">
        <f t="shared" si="23"/>
        <v>57.637999999999991</v>
      </c>
    </row>
    <row r="105" spans="1:11" ht="70.5" customHeight="1">
      <c r="A105" s="32">
        <v>23</v>
      </c>
      <c r="B105" s="10"/>
      <c r="C105" s="18" t="s">
        <v>115</v>
      </c>
      <c r="D105" s="13" t="s">
        <v>11</v>
      </c>
      <c r="E105" s="8">
        <f>SUM(E106)</f>
        <v>36885.751000000004</v>
      </c>
      <c r="F105" s="8">
        <f>SUM(F106)</f>
        <v>2500</v>
      </c>
      <c r="G105" s="8">
        <f t="shared" si="24"/>
        <v>39385.751000000004</v>
      </c>
      <c r="H105" s="8">
        <f>SUM(H106)</f>
        <v>2694.3199999999997</v>
      </c>
      <c r="I105" s="8">
        <f>SUM(I106)</f>
        <v>0</v>
      </c>
      <c r="J105" s="8">
        <f>H105+I105</f>
        <v>2694.3199999999997</v>
      </c>
      <c r="K105" s="8">
        <f t="shared" si="23"/>
        <v>6.8408496260487697</v>
      </c>
    </row>
    <row r="106" spans="1:11" ht="43.5" customHeight="1">
      <c r="A106" s="32"/>
      <c r="B106" s="10">
        <v>2717693</v>
      </c>
      <c r="C106" s="9" t="s">
        <v>113</v>
      </c>
      <c r="D106" s="1" t="s">
        <v>21</v>
      </c>
      <c r="E106" s="9">
        <f>6850+35.751+30000</f>
        <v>36885.751000000004</v>
      </c>
      <c r="F106" s="9">
        <v>2500</v>
      </c>
      <c r="G106" s="8">
        <f t="shared" si="24"/>
        <v>39385.751000000004</v>
      </c>
      <c r="H106" s="9">
        <f>6.94+35.751+8.9+0.9+0.352+222.277+128.1+2291.1</f>
        <v>2694.3199999999997</v>
      </c>
      <c r="I106" s="9"/>
      <c r="J106" s="8">
        <f>H106+I106</f>
        <v>2694.3199999999997</v>
      </c>
      <c r="K106" s="8">
        <f t="shared" si="23"/>
        <v>6.8408496260487697</v>
      </c>
    </row>
    <row r="107" spans="1:11" ht="70.5" customHeight="1">
      <c r="A107" s="32">
        <v>24</v>
      </c>
      <c r="B107" s="10"/>
      <c r="C107" s="18" t="s">
        <v>114</v>
      </c>
      <c r="D107" s="13" t="s">
        <v>11</v>
      </c>
      <c r="E107" s="8">
        <f>SUM(E108:E111)</f>
        <v>2274.1</v>
      </c>
      <c r="F107" s="8">
        <f>SUM(F108:F111)</f>
        <v>78547</v>
      </c>
      <c r="G107" s="8">
        <f t="shared" si="24"/>
        <v>80821.100000000006</v>
      </c>
      <c r="H107" s="8">
        <f>SUM(H108:H111)</f>
        <v>1293.4999999999998</v>
      </c>
      <c r="I107" s="8">
        <f>SUM(I108:I111)</f>
        <v>13007.500000000002</v>
      </c>
      <c r="J107" s="8">
        <f>H107+I107</f>
        <v>14301.000000000002</v>
      </c>
      <c r="K107" s="8">
        <f t="shared" ref="K107:K112" si="25">J107/G107*100</f>
        <v>17.694636672849047</v>
      </c>
    </row>
    <row r="108" spans="1:11" ht="45" customHeight="1">
      <c r="A108" s="32"/>
      <c r="B108" s="10" t="s">
        <v>61</v>
      </c>
      <c r="C108" s="1" t="s">
        <v>34</v>
      </c>
      <c r="D108" s="32" t="s">
        <v>22</v>
      </c>
      <c r="E108" s="9">
        <v>2274.1</v>
      </c>
      <c r="F108" s="9"/>
      <c r="G108" s="8">
        <f t="shared" si="24"/>
        <v>2274.1</v>
      </c>
      <c r="H108" s="9">
        <f>57.7+93.5+59.9+101.3+59.6+108.8+59.1+95.3+77.4+117.3+31.5+45+119.1+50.8+10.5+128.3+78.4</f>
        <v>1293.4999999999998</v>
      </c>
      <c r="I108" s="9"/>
      <c r="J108" s="8">
        <f t="shared" ref="J108:J120" si="26">H108+I108</f>
        <v>1293.4999999999998</v>
      </c>
      <c r="K108" s="8">
        <f t="shared" si="25"/>
        <v>56.879644694604451</v>
      </c>
    </row>
    <row r="109" spans="1:11" ht="58.5" customHeight="1">
      <c r="A109" s="32"/>
      <c r="B109" s="10" t="s">
        <v>197</v>
      </c>
      <c r="C109" s="1" t="s">
        <v>62</v>
      </c>
      <c r="D109" s="32"/>
      <c r="E109" s="9"/>
      <c r="F109" s="9">
        <f>190</f>
        <v>190</v>
      </c>
      <c r="G109" s="8">
        <f t="shared" si="24"/>
        <v>190</v>
      </c>
      <c r="H109" s="9"/>
      <c r="I109" s="9">
        <f>38+52</f>
        <v>90</v>
      </c>
      <c r="J109" s="8">
        <f t="shared" si="26"/>
        <v>90</v>
      </c>
      <c r="K109" s="8">
        <f t="shared" si="25"/>
        <v>47.368421052631575</v>
      </c>
    </row>
    <row r="110" spans="1:11" ht="57.75" customHeight="1">
      <c r="A110" s="32"/>
      <c r="B110" s="10" t="s">
        <v>198</v>
      </c>
      <c r="C110" s="1" t="s">
        <v>199</v>
      </c>
      <c r="D110" s="32"/>
      <c r="E110" s="9"/>
      <c r="F110" s="9">
        <f>67664+6850+2150</f>
        <v>76664</v>
      </c>
      <c r="G110" s="8">
        <f t="shared" si="24"/>
        <v>76664</v>
      </c>
      <c r="H110" s="9"/>
      <c r="I110" s="9">
        <f>319.3+6565.5+1020+983.9+1550.4+135.1+993.5+851.6</f>
        <v>12419.300000000001</v>
      </c>
      <c r="J110" s="8">
        <f t="shared" si="26"/>
        <v>12419.300000000001</v>
      </c>
      <c r="K110" s="8">
        <f t="shared" si="25"/>
        <v>16.199650422623396</v>
      </c>
    </row>
    <row r="111" spans="1:11" ht="61.5" customHeight="1">
      <c r="A111" s="32"/>
      <c r="B111" s="10">
        <v>2818340</v>
      </c>
      <c r="C111" s="1" t="s">
        <v>35</v>
      </c>
      <c r="D111" s="32"/>
      <c r="E111" s="9"/>
      <c r="F111" s="9">
        <f>33077-22384-6850+347.1-2497.1</f>
        <v>1693.0000000000005</v>
      </c>
      <c r="G111" s="8">
        <f t="shared" si="24"/>
        <v>1693.0000000000005</v>
      </c>
      <c r="H111" s="9"/>
      <c r="I111" s="9">
        <f>151.1+347.1</f>
        <v>498.20000000000005</v>
      </c>
      <c r="J111" s="8">
        <f t="shared" si="26"/>
        <v>498.20000000000005</v>
      </c>
      <c r="K111" s="8">
        <f t="shared" si="25"/>
        <v>29.427052569403422</v>
      </c>
    </row>
    <row r="112" spans="1:11" ht="102" customHeight="1">
      <c r="A112" s="33">
        <v>25</v>
      </c>
      <c r="B112" s="10"/>
      <c r="C112" s="18" t="s">
        <v>110</v>
      </c>
      <c r="D112" s="13" t="s">
        <v>11</v>
      </c>
      <c r="E112" s="8">
        <f>SUM(E113:E117)</f>
        <v>90556.375</v>
      </c>
      <c r="F112" s="8">
        <f>SUM(F113:F117)</f>
        <v>179977.834</v>
      </c>
      <c r="G112" s="8">
        <f t="shared" si="24"/>
        <v>270534.20900000003</v>
      </c>
      <c r="H112" s="8">
        <f>SUM(H113:H117)</f>
        <v>79401.368000000002</v>
      </c>
      <c r="I112" s="8">
        <f>SUM(I113:I117)</f>
        <v>129149.705</v>
      </c>
      <c r="J112" s="8">
        <f t="shared" si="26"/>
        <v>208551.073</v>
      </c>
      <c r="K112" s="8">
        <f t="shared" si="25"/>
        <v>77.088614327513753</v>
      </c>
    </row>
    <row r="113" spans="1:11" ht="71.25" customHeight="1">
      <c r="A113" s="34"/>
      <c r="B113" s="10">
        <v>2918110</v>
      </c>
      <c r="C113" s="9" t="s">
        <v>111</v>
      </c>
      <c r="D113" s="33" t="s">
        <v>23</v>
      </c>
      <c r="E113" s="9">
        <f>5100+540+400+830</f>
        <v>6870</v>
      </c>
      <c r="F113" s="9">
        <f>400-400</f>
        <v>0</v>
      </c>
      <c r="G113" s="8">
        <f t="shared" ref="G113:G119" si="27">E113+F113</f>
        <v>6870</v>
      </c>
      <c r="H113" s="9">
        <f>3766.08+400+300+502.2+399.9+6.6+399.96+1079.7</f>
        <v>6854.44</v>
      </c>
      <c r="I113" s="9"/>
      <c r="J113" s="8">
        <f t="shared" si="26"/>
        <v>6854.44</v>
      </c>
      <c r="K113" s="8">
        <f t="shared" ref="K113:K120" si="28">J113/G113*100</f>
        <v>99.773508005822407</v>
      </c>
    </row>
    <row r="114" spans="1:11" ht="67.5" customHeight="1">
      <c r="A114" s="34"/>
      <c r="B114" s="10">
        <v>2918120</v>
      </c>
      <c r="C114" s="9" t="s">
        <v>36</v>
      </c>
      <c r="D114" s="34"/>
      <c r="E114" s="9">
        <v>11200</v>
      </c>
      <c r="F114" s="9">
        <f>400</f>
        <v>400</v>
      </c>
      <c r="G114" s="8">
        <f t="shared" si="27"/>
        <v>11600</v>
      </c>
      <c r="H114" s="9">
        <f>359.5+497.7+281.3+16.2+0.39+430.45+353.4+464.9+420.3+0.9+409.8+437.7+7.5+546.2+99.88+425.783+525+474.2+635.6+411.1+9.6</f>
        <v>6807.4030000000021</v>
      </c>
      <c r="I114" s="9">
        <f>370+29.8</f>
        <v>399.8</v>
      </c>
      <c r="J114" s="8">
        <f t="shared" si="26"/>
        <v>7207.2030000000022</v>
      </c>
      <c r="K114" s="8">
        <f t="shared" si="28"/>
        <v>62.131060344827603</v>
      </c>
    </row>
    <row r="115" spans="1:11" ht="63" customHeight="1">
      <c r="A115" s="34"/>
      <c r="B115" s="10" t="s">
        <v>112</v>
      </c>
      <c r="C115" s="23" t="s">
        <v>30</v>
      </c>
      <c r="D115" s="34"/>
      <c r="E115" s="9">
        <f>1200+3000-1481.8</f>
        <v>2718.2</v>
      </c>
      <c r="F115" s="9">
        <f>5000+1500+8086.8</f>
        <v>14586.8</v>
      </c>
      <c r="G115" s="8">
        <f t="shared" si="27"/>
        <v>17305</v>
      </c>
      <c r="H115" s="9">
        <f>72+64+398.43+575.76+182+183.3+33.5+165.44</f>
        <v>1674.43</v>
      </c>
      <c r="I115" s="9">
        <f>215.2+337.8+1953.49+272+102+168.16+2000</f>
        <v>5048.6499999999996</v>
      </c>
      <c r="J115" s="8">
        <f t="shared" si="26"/>
        <v>6723.08</v>
      </c>
      <c r="K115" s="8">
        <f t="shared" si="28"/>
        <v>38.850505634209767</v>
      </c>
    </row>
    <row r="116" spans="1:11" ht="71.25" customHeight="1">
      <c r="A116" s="34"/>
      <c r="B116" s="20">
        <v>2919800</v>
      </c>
      <c r="C116" s="1" t="s">
        <v>62</v>
      </c>
      <c r="D116" s="35"/>
      <c r="E116" s="9">
        <f>22177.24+1000+1000+664.935+100+6800+38026</f>
        <v>69768.175000000003</v>
      </c>
      <c r="F116" s="9">
        <f>25850+1000+50577.455+555.5-7648-315.5+85898.819</f>
        <v>155918.274</v>
      </c>
      <c r="G116" s="8">
        <f t="shared" si="27"/>
        <v>225686.44900000002</v>
      </c>
      <c r="H116" s="9">
        <f>372.85+23.8+1745.5+12638.545+17.7+32+9294.5+250+886.5+400+38403.7</f>
        <v>64065.095000000001</v>
      </c>
      <c r="I116" s="9">
        <f>1000+22991.455+24736+2346+67518.2</f>
        <v>118591.655</v>
      </c>
      <c r="J116" s="8">
        <f t="shared" si="26"/>
        <v>182656.75</v>
      </c>
      <c r="K116" s="8">
        <f t="shared" si="28"/>
        <v>80.933857929591497</v>
      </c>
    </row>
    <row r="117" spans="1:11" ht="64.5" customHeight="1">
      <c r="A117" s="35"/>
      <c r="B117" s="20" t="s">
        <v>142</v>
      </c>
      <c r="C117" s="1" t="s">
        <v>143</v>
      </c>
      <c r="D117" s="1" t="s">
        <v>145</v>
      </c>
      <c r="E117" s="9"/>
      <c r="F117" s="9">
        <v>9072.76</v>
      </c>
      <c r="G117" s="8">
        <f t="shared" si="27"/>
        <v>9072.76</v>
      </c>
      <c r="H117" s="9"/>
      <c r="I117" s="9">
        <f>4481.9+627.7</f>
        <v>5109.5999999999995</v>
      </c>
      <c r="J117" s="8">
        <f t="shared" si="26"/>
        <v>5109.5999999999995</v>
      </c>
      <c r="K117" s="8">
        <f t="shared" si="28"/>
        <v>56.318033321723483</v>
      </c>
    </row>
    <row r="118" spans="1:11" ht="113.25" customHeight="1">
      <c r="A118" s="32">
        <v>26</v>
      </c>
      <c r="B118" s="1"/>
      <c r="C118" s="19" t="s">
        <v>130</v>
      </c>
      <c r="D118" s="13" t="s">
        <v>11</v>
      </c>
      <c r="E118" s="8">
        <f>SUM(E119)</f>
        <v>5000</v>
      </c>
      <c r="F118" s="8">
        <f>SUM(F119)</f>
        <v>0</v>
      </c>
      <c r="G118" s="8">
        <f t="shared" si="27"/>
        <v>5000</v>
      </c>
      <c r="H118" s="8">
        <f>SUM(H119)</f>
        <v>0</v>
      </c>
      <c r="I118" s="8">
        <f>SUM(I119)</f>
        <v>0</v>
      </c>
      <c r="J118" s="8">
        <f t="shared" si="26"/>
        <v>0</v>
      </c>
      <c r="K118" s="8">
        <f t="shared" si="28"/>
        <v>0</v>
      </c>
    </row>
    <row r="119" spans="1:11" ht="75" customHeight="1">
      <c r="A119" s="32"/>
      <c r="B119" s="10" t="s">
        <v>131</v>
      </c>
      <c r="C119" s="9" t="s">
        <v>113</v>
      </c>
      <c r="D119" s="1" t="s">
        <v>21</v>
      </c>
      <c r="E119" s="9">
        <v>5000</v>
      </c>
      <c r="F119" s="9">
        <f>2500-2500</f>
        <v>0</v>
      </c>
      <c r="G119" s="8">
        <f t="shared" si="27"/>
        <v>5000</v>
      </c>
      <c r="H119" s="9"/>
      <c r="I119" s="9"/>
      <c r="J119" s="8">
        <f t="shared" si="26"/>
        <v>0</v>
      </c>
      <c r="K119" s="8">
        <f t="shared" si="28"/>
        <v>0</v>
      </c>
    </row>
    <row r="120" spans="1:11" ht="97.5" customHeight="1">
      <c r="A120" s="32">
        <v>27</v>
      </c>
      <c r="B120" s="14"/>
      <c r="C120" s="19" t="s">
        <v>169</v>
      </c>
      <c r="D120" s="13" t="s">
        <v>11</v>
      </c>
      <c r="E120" s="8">
        <f>SUM(E121:E121)</f>
        <v>18800</v>
      </c>
      <c r="F120" s="8">
        <f>SUM(F121:F121)</f>
        <v>0</v>
      </c>
      <c r="G120" s="8">
        <f>SUM(E120+F120)</f>
        <v>18800</v>
      </c>
      <c r="H120" s="8">
        <f>SUM(H121:H121)</f>
        <v>2200</v>
      </c>
      <c r="I120" s="8">
        <f>SUM(I121:I121)</f>
        <v>0</v>
      </c>
      <c r="J120" s="8">
        <f t="shared" si="26"/>
        <v>2200</v>
      </c>
      <c r="K120" s="8">
        <f t="shared" si="28"/>
        <v>11.702127659574469</v>
      </c>
    </row>
    <row r="121" spans="1:11" ht="63" customHeight="1">
      <c r="A121" s="32"/>
      <c r="B121" s="10" t="s">
        <v>131</v>
      </c>
      <c r="C121" s="9" t="s">
        <v>113</v>
      </c>
      <c r="D121" s="1" t="s">
        <v>21</v>
      </c>
      <c r="E121" s="9">
        <f>12000+1300+38000-32500</f>
        <v>18800</v>
      </c>
      <c r="F121" s="9">
        <f>38000-38000</f>
        <v>0</v>
      </c>
      <c r="G121" s="8">
        <f>+E121+F121</f>
        <v>18800</v>
      </c>
      <c r="H121" s="9">
        <f>1300+200+700</f>
        <v>2200</v>
      </c>
      <c r="I121" s="9"/>
      <c r="J121" s="8">
        <f>+H121+I121</f>
        <v>2200</v>
      </c>
      <c r="K121" s="8">
        <f>J121/G121*100</f>
        <v>11.702127659574469</v>
      </c>
    </row>
    <row r="122" spans="1:11" ht="86.25" customHeight="1">
      <c r="A122" s="32">
        <v>28</v>
      </c>
      <c r="B122" s="10"/>
      <c r="C122" s="17" t="s">
        <v>156</v>
      </c>
      <c r="D122" s="13" t="s">
        <v>11</v>
      </c>
      <c r="E122" s="8">
        <f>SUM(E123:E125)</f>
        <v>73768.626000000004</v>
      </c>
      <c r="F122" s="8">
        <f>SUM(F123:F125)</f>
        <v>4500</v>
      </c>
      <c r="G122" s="8">
        <f t="shared" ref="G122:G143" si="29">E122+F122</f>
        <v>78268.626000000004</v>
      </c>
      <c r="H122" s="8">
        <f>SUM(H123:H125)</f>
        <v>24785.511000000002</v>
      </c>
      <c r="I122" s="8">
        <f>SUM(I123:I125)</f>
        <v>0</v>
      </c>
      <c r="J122" s="8">
        <f t="shared" ref="J122:J129" si="30">H122+I122</f>
        <v>24785.511000000002</v>
      </c>
      <c r="K122" s="8">
        <f>J122/G122*100</f>
        <v>31.667236626844581</v>
      </c>
    </row>
    <row r="123" spans="1:11" ht="52.5" customHeight="1">
      <c r="A123" s="32"/>
      <c r="B123" s="10" t="s">
        <v>146</v>
      </c>
      <c r="C123" s="23" t="s">
        <v>147</v>
      </c>
      <c r="D123" s="32" t="s">
        <v>148</v>
      </c>
      <c r="E123" s="9">
        <f>8100+4722.5-2600</f>
        <v>10222.5</v>
      </c>
      <c r="F123" s="9"/>
      <c r="G123" s="8">
        <f t="shared" si="29"/>
        <v>10222.5</v>
      </c>
      <c r="H123" s="9">
        <f>3474.9+300.6+947</f>
        <v>4722.5</v>
      </c>
      <c r="I123" s="9"/>
      <c r="J123" s="8">
        <f t="shared" si="30"/>
        <v>4722.5</v>
      </c>
      <c r="K123" s="8">
        <f>J123/G123*100</f>
        <v>46.197114208853016</v>
      </c>
    </row>
    <row r="124" spans="1:11" ht="62.25" customHeight="1">
      <c r="A124" s="32"/>
      <c r="B124" s="10" t="s">
        <v>149</v>
      </c>
      <c r="C124" s="23" t="s">
        <v>144</v>
      </c>
      <c r="D124" s="32"/>
      <c r="E124" s="9">
        <f>10000+10139.466+40050+2625</f>
        <v>62814.466</v>
      </c>
      <c r="F124" s="9"/>
      <c r="G124" s="8">
        <f t="shared" si="29"/>
        <v>62814.466</v>
      </c>
      <c r="H124" s="9">
        <f>3160.2+6979.303+9622.788</f>
        <v>19762.291000000001</v>
      </c>
      <c r="I124" s="9"/>
      <c r="J124" s="8">
        <f t="shared" si="30"/>
        <v>19762.291000000001</v>
      </c>
      <c r="K124" s="8">
        <f>J124/G124*100</f>
        <v>31.461369105645186</v>
      </c>
    </row>
    <row r="125" spans="1:11" ht="60" customHeight="1">
      <c r="A125" s="32"/>
      <c r="B125" s="10" t="s">
        <v>150</v>
      </c>
      <c r="C125" s="1" t="s">
        <v>62</v>
      </c>
      <c r="D125" s="32"/>
      <c r="E125" s="9">
        <f>700+6.66+25</f>
        <v>731.66</v>
      </c>
      <c r="F125" s="9">
        <f>500+4000</f>
        <v>4500</v>
      </c>
      <c r="G125" s="8">
        <f t="shared" si="29"/>
        <v>5231.66</v>
      </c>
      <c r="H125" s="9">
        <f>15.84+83+6.2+175.68+20</f>
        <v>300.72000000000003</v>
      </c>
      <c r="I125" s="9">
        <f>175.68-175.68</f>
        <v>0</v>
      </c>
      <c r="J125" s="8">
        <f t="shared" si="30"/>
        <v>300.72000000000003</v>
      </c>
      <c r="K125" s="8">
        <f>J125/G125*100</f>
        <v>5.7480799593245742</v>
      </c>
    </row>
    <row r="126" spans="1:11" ht="79.5" customHeight="1">
      <c r="A126" s="32">
        <v>29</v>
      </c>
      <c r="B126" s="10"/>
      <c r="C126" s="18" t="s">
        <v>151</v>
      </c>
      <c r="D126" s="13" t="s">
        <v>11</v>
      </c>
      <c r="E126" s="8">
        <f>SUM(E127:E128)</f>
        <v>6000</v>
      </c>
      <c r="F126" s="8">
        <f>SUM(F127:F128)</f>
        <v>0</v>
      </c>
      <c r="G126" s="8">
        <f t="shared" si="29"/>
        <v>6000</v>
      </c>
      <c r="H126" s="8">
        <f>SUM(H127:H128)</f>
        <v>4415.5</v>
      </c>
      <c r="I126" s="8">
        <f>SUM(I127:I128)</f>
        <v>0</v>
      </c>
      <c r="J126" s="8">
        <f t="shared" si="30"/>
        <v>4415.5</v>
      </c>
      <c r="K126" s="8">
        <f t="shared" ref="K126:K142" si="31">J126/G126*100</f>
        <v>73.591666666666669</v>
      </c>
    </row>
    <row r="127" spans="1:11" ht="60" customHeight="1">
      <c r="A127" s="32"/>
      <c r="B127" s="10" t="s">
        <v>210</v>
      </c>
      <c r="C127" s="1" t="s">
        <v>152</v>
      </c>
      <c r="D127" s="32" t="s">
        <v>153</v>
      </c>
      <c r="E127" s="9">
        <v>3000</v>
      </c>
      <c r="F127" s="9"/>
      <c r="G127" s="8">
        <f t="shared" si="29"/>
        <v>3000</v>
      </c>
      <c r="H127" s="9">
        <f>756.1+349.1+12.8+1197.5</f>
        <v>2315.5</v>
      </c>
      <c r="I127" s="9"/>
      <c r="J127" s="8">
        <f t="shared" si="30"/>
        <v>2315.5</v>
      </c>
      <c r="K127" s="8">
        <f t="shared" si="31"/>
        <v>77.183333333333337</v>
      </c>
    </row>
    <row r="128" spans="1:11" ht="62.25" customHeight="1">
      <c r="A128" s="32"/>
      <c r="B128" s="10" t="s">
        <v>154</v>
      </c>
      <c r="C128" s="1" t="s">
        <v>155</v>
      </c>
      <c r="D128" s="32"/>
      <c r="E128" s="9">
        <v>3000</v>
      </c>
      <c r="F128" s="9"/>
      <c r="G128" s="8">
        <f t="shared" si="29"/>
        <v>3000</v>
      </c>
      <c r="H128" s="9">
        <f>300+300+300+300+300+300+300</f>
        <v>2100</v>
      </c>
      <c r="I128" s="9"/>
      <c r="J128" s="8">
        <f t="shared" si="30"/>
        <v>2100</v>
      </c>
      <c r="K128" s="8">
        <f t="shared" si="31"/>
        <v>70</v>
      </c>
    </row>
    <row r="129" spans="1:11" ht="76.5" customHeight="1">
      <c r="A129" s="32">
        <v>30</v>
      </c>
      <c r="B129" s="10"/>
      <c r="C129" s="18" t="s">
        <v>170</v>
      </c>
      <c r="D129" s="13" t="s">
        <v>11</v>
      </c>
      <c r="E129" s="8">
        <f>SUM(E130:E139)</f>
        <v>-5.0000000046566129E-3</v>
      </c>
      <c r="F129" s="8">
        <f>SUM(F130:F139)</f>
        <v>333665.81400000001</v>
      </c>
      <c r="G129" s="8">
        <f t="shared" ref="G129:G139" si="32">E129+F129</f>
        <v>333665.80900000001</v>
      </c>
      <c r="H129" s="8">
        <f>SUM(H130:H139)</f>
        <v>0</v>
      </c>
      <c r="I129" s="8">
        <f>SUM(I130:I139)</f>
        <v>129751.40000000001</v>
      </c>
      <c r="J129" s="8">
        <f t="shared" si="30"/>
        <v>129751.40000000001</v>
      </c>
      <c r="K129" s="8">
        <f>J129/G129*100</f>
        <v>38.886633421885911</v>
      </c>
    </row>
    <row r="130" spans="1:11" ht="58.5" customHeight="1">
      <c r="A130" s="32"/>
      <c r="B130" s="10" t="s">
        <v>71</v>
      </c>
      <c r="C130" s="1" t="s">
        <v>51</v>
      </c>
      <c r="D130" s="32" t="s">
        <v>13</v>
      </c>
      <c r="E130" s="9"/>
      <c r="F130" s="9">
        <f>113792.712+300+66024.5</f>
        <v>180117.212</v>
      </c>
      <c r="G130" s="8">
        <f t="shared" si="32"/>
        <v>180117.212</v>
      </c>
      <c r="H130" s="8"/>
      <c r="I130" s="9">
        <f>175.7+765.4+1230.1+765.5+132.6+641.8+548.5+1574.2+3312.3+1825.6+4905.8+1014.7+5266.4+5362.9+3142.7+6483.3+4186.4+2046.1+813.9+1627.2+4009.5+5641.6+8766.4+9007.7</f>
        <v>73246.3</v>
      </c>
      <c r="J130" s="8">
        <f t="shared" ref="J130:J137" si="33">H130+I130</f>
        <v>73246.3</v>
      </c>
      <c r="K130" s="8">
        <f t="shared" si="31"/>
        <v>40.665908153186379</v>
      </c>
    </row>
    <row r="131" spans="1:11" ht="61.5" customHeight="1">
      <c r="A131" s="32"/>
      <c r="B131" s="10" t="s">
        <v>178</v>
      </c>
      <c r="C131" s="1" t="s">
        <v>62</v>
      </c>
      <c r="D131" s="32"/>
      <c r="E131" s="9"/>
      <c r="F131" s="9">
        <f>6000+61000</f>
        <v>67000</v>
      </c>
      <c r="G131" s="8">
        <f t="shared" si="32"/>
        <v>67000</v>
      </c>
      <c r="H131" s="8"/>
      <c r="I131" s="9">
        <f>87.3+4912.7+12003.9</f>
        <v>17003.900000000001</v>
      </c>
      <c r="J131" s="8">
        <f t="shared" si="33"/>
        <v>17003.900000000001</v>
      </c>
      <c r="K131" s="8">
        <f t="shared" si="31"/>
        <v>25.378955223880599</v>
      </c>
    </row>
    <row r="132" spans="1:11" ht="64.5" customHeight="1">
      <c r="A132" s="32"/>
      <c r="B132" s="10" t="s">
        <v>179</v>
      </c>
      <c r="C132" s="1" t="s">
        <v>184</v>
      </c>
      <c r="D132" s="33" t="s">
        <v>9</v>
      </c>
      <c r="E132" s="9"/>
      <c r="F132" s="9">
        <f>1695+10000</f>
        <v>11695</v>
      </c>
      <c r="G132" s="8">
        <f t="shared" si="32"/>
        <v>11695</v>
      </c>
      <c r="H132" s="8"/>
      <c r="I132" s="9">
        <f>500+695+161.7</f>
        <v>1356.7</v>
      </c>
      <c r="J132" s="8">
        <f t="shared" si="33"/>
        <v>1356.7</v>
      </c>
      <c r="K132" s="8">
        <f t="shared" si="31"/>
        <v>11.600684053014108</v>
      </c>
    </row>
    <row r="133" spans="1:11" ht="64.5" customHeight="1">
      <c r="A133" s="32"/>
      <c r="B133" s="29" t="s">
        <v>77</v>
      </c>
      <c r="C133" s="28" t="s">
        <v>78</v>
      </c>
      <c r="D133" s="35"/>
      <c r="E133" s="9"/>
      <c r="F133" s="9">
        <f>4072.8</f>
        <v>4072.8</v>
      </c>
      <c r="G133" s="8">
        <f t="shared" si="32"/>
        <v>4072.8</v>
      </c>
      <c r="H133" s="8"/>
      <c r="I133" s="9"/>
      <c r="J133" s="8">
        <f t="shared" si="33"/>
        <v>0</v>
      </c>
      <c r="K133" s="8">
        <f t="shared" si="31"/>
        <v>0</v>
      </c>
    </row>
    <row r="134" spans="1:11" ht="64.5" customHeight="1">
      <c r="A134" s="32"/>
      <c r="B134" s="10" t="s">
        <v>180</v>
      </c>
      <c r="C134" s="1" t="s">
        <v>185</v>
      </c>
      <c r="D134" s="1" t="s">
        <v>1</v>
      </c>
      <c r="E134" s="9"/>
      <c r="F134" s="9">
        <f>17441.802-350</f>
        <v>17091.802</v>
      </c>
      <c r="G134" s="8">
        <f t="shared" si="32"/>
        <v>17091.802</v>
      </c>
      <c r="H134" s="8"/>
      <c r="I134" s="9">
        <f>618.8+647.5+433.8+70.7+2502.2+2164.1+885.5+10.1</f>
        <v>7332.7000000000007</v>
      </c>
      <c r="J134" s="8">
        <f t="shared" si="33"/>
        <v>7332.7000000000007</v>
      </c>
      <c r="K134" s="8">
        <f t="shared" si="31"/>
        <v>42.901854350992366</v>
      </c>
    </row>
    <row r="135" spans="1:11" ht="60.75" customHeight="1">
      <c r="A135" s="32"/>
      <c r="B135" s="10" t="s">
        <v>181</v>
      </c>
      <c r="C135" s="1" t="s">
        <v>184</v>
      </c>
      <c r="D135" s="32" t="s">
        <v>145</v>
      </c>
      <c r="E135" s="9"/>
      <c r="F135" s="9">
        <v>10765.2</v>
      </c>
      <c r="G135" s="8">
        <f t="shared" si="32"/>
        <v>10765.2</v>
      </c>
      <c r="H135" s="8"/>
      <c r="I135" s="9">
        <v>10765.2</v>
      </c>
      <c r="J135" s="8">
        <f t="shared" si="33"/>
        <v>10765.2</v>
      </c>
      <c r="K135" s="8">
        <f t="shared" si="31"/>
        <v>100</v>
      </c>
    </row>
    <row r="136" spans="1:11" ht="54.75" customHeight="1">
      <c r="A136" s="32"/>
      <c r="B136" s="10" t="s">
        <v>142</v>
      </c>
      <c r="C136" s="1" t="s">
        <v>186</v>
      </c>
      <c r="D136" s="32"/>
      <c r="E136" s="9"/>
      <c r="F136" s="9">
        <f>1500+21000</f>
        <v>22500</v>
      </c>
      <c r="G136" s="8">
        <f t="shared" si="32"/>
        <v>22500</v>
      </c>
      <c r="H136" s="8"/>
      <c r="I136" s="9">
        <f>97.9+12500</f>
        <v>12597.9</v>
      </c>
      <c r="J136" s="8">
        <f t="shared" si="33"/>
        <v>12597.9</v>
      </c>
      <c r="K136" s="8">
        <f t="shared" si="31"/>
        <v>55.990666666666669</v>
      </c>
    </row>
    <row r="137" spans="1:11" ht="57" customHeight="1">
      <c r="A137" s="32"/>
      <c r="B137" s="10" t="s">
        <v>182</v>
      </c>
      <c r="C137" s="1" t="s">
        <v>32</v>
      </c>
      <c r="D137" s="32"/>
      <c r="E137" s="9"/>
      <c r="F137" s="9">
        <f>1500+5000</f>
        <v>6500</v>
      </c>
      <c r="G137" s="8">
        <f t="shared" si="32"/>
        <v>6500</v>
      </c>
      <c r="H137" s="8"/>
      <c r="I137" s="9">
        <f>35.6</f>
        <v>35.6</v>
      </c>
      <c r="J137" s="8">
        <f t="shared" si="33"/>
        <v>35.6</v>
      </c>
      <c r="K137" s="8">
        <f t="shared" si="31"/>
        <v>0.5476923076923077</v>
      </c>
    </row>
    <row r="138" spans="1:11" ht="56.25" customHeight="1">
      <c r="A138" s="32"/>
      <c r="B138" s="10" t="s">
        <v>137</v>
      </c>
      <c r="C138" s="23" t="s">
        <v>30</v>
      </c>
      <c r="D138" s="32" t="s">
        <v>21</v>
      </c>
      <c r="E138" s="9">
        <f>153694.695-153694.7</f>
        <v>-5.0000000046566129E-3</v>
      </c>
      <c r="F138" s="9">
        <f>50.1+949.9+7923.8</f>
        <v>8923.7999999999993</v>
      </c>
      <c r="G138" s="8">
        <f t="shared" si="32"/>
        <v>8923.7949999999946</v>
      </c>
      <c r="H138" s="9"/>
      <c r="I138" s="9">
        <f>49.3+8.1+133.7+621.2+87.7+100+3246+581.8</f>
        <v>4827.8</v>
      </c>
      <c r="J138" s="8">
        <f t="shared" ref="J138:J143" si="34">H138+I138</f>
        <v>4827.8</v>
      </c>
      <c r="K138" s="8">
        <f t="shared" si="31"/>
        <v>54.100301497289024</v>
      </c>
    </row>
    <row r="139" spans="1:11" ht="57" customHeight="1">
      <c r="A139" s="32"/>
      <c r="B139" s="10" t="s">
        <v>177</v>
      </c>
      <c r="C139" s="23" t="s">
        <v>183</v>
      </c>
      <c r="D139" s="32"/>
      <c r="E139" s="9"/>
      <c r="F139" s="9">
        <f>2000+3000</f>
        <v>5000</v>
      </c>
      <c r="G139" s="8">
        <f t="shared" si="32"/>
        <v>5000</v>
      </c>
      <c r="H139" s="9"/>
      <c r="I139" s="9">
        <f>257.7+1172.4+569.9+585.3</f>
        <v>2585.3000000000002</v>
      </c>
      <c r="J139" s="8">
        <f t="shared" si="34"/>
        <v>2585.3000000000002</v>
      </c>
      <c r="K139" s="8">
        <f t="shared" si="31"/>
        <v>51.70600000000001</v>
      </c>
    </row>
    <row r="140" spans="1:11" ht="78.75" customHeight="1">
      <c r="A140" s="32">
        <v>31</v>
      </c>
      <c r="B140" s="10"/>
      <c r="C140" s="19" t="s">
        <v>209</v>
      </c>
      <c r="D140" s="13" t="s">
        <v>11</v>
      </c>
      <c r="E140" s="8">
        <f>SUM(E141:E142)</f>
        <v>69059.76400000001</v>
      </c>
      <c r="F140" s="8">
        <f>SUM(F141:F142)</f>
        <v>171.84</v>
      </c>
      <c r="G140" s="8">
        <f t="shared" si="29"/>
        <v>69231.604000000007</v>
      </c>
      <c r="H140" s="8">
        <f>SUM(H141:H142)</f>
        <v>55818.569000000003</v>
      </c>
      <c r="I140" s="8">
        <f>SUM(I141:I142)</f>
        <v>171.84</v>
      </c>
      <c r="J140" s="8">
        <f t="shared" si="34"/>
        <v>55990.409</v>
      </c>
      <c r="K140" s="8">
        <f t="shared" si="31"/>
        <v>80.874060060778021</v>
      </c>
    </row>
    <row r="141" spans="1:11" ht="65.25" customHeight="1">
      <c r="A141" s="32"/>
      <c r="B141" s="10">
        <v>3719800</v>
      </c>
      <c r="C141" s="33" t="s">
        <v>62</v>
      </c>
      <c r="D141" s="1" t="s">
        <v>24</v>
      </c>
      <c r="E141" s="9">
        <f>60000+229.804+5340+2000+9.96</f>
        <v>67579.76400000001</v>
      </c>
      <c r="F141" s="9">
        <f>21.8+160-9.96</f>
        <v>171.84</v>
      </c>
      <c r="G141" s="8">
        <f t="shared" si="29"/>
        <v>67751.604000000007</v>
      </c>
      <c r="H141" s="9">
        <f>7862.9+3000+10.3+229.804+7862.9+8562.9+340+7862.9+6241.323+6677.414+153.5+870.622+4654.106+9.9</f>
        <v>54338.569000000003</v>
      </c>
      <c r="I141" s="9">
        <f>21.8+160-9.96</f>
        <v>171.84</v>
      </c>
      <c r="J141" s="8">
        <f t="shared" si="34"/>
        <v>54510.409</v>
      </c>
      <c r="K141" s="8">
        <f t="shared" si="31"/>
        <v>80.456263441379178</v>
      </c>
    </row>
    <row r="142" spans="1:11" ht="65.25" customHeight="1">
      <c r="A142" s="1"/>
      <c r="B142" s="10" t="s">
        <v>203</v>
      </c>
      <c r="C142" s="35"/>
      <c r="D142" s="1" t="s">
        <v>15</v>
      </c>
      <c r="E142" s="9">
        <v>1480</v>
      </c>
      <c r="F142" s="9"/>
      <c r="G142" s="8">
        <f t="shared" si="29"/>
        <v>1480</v>
      </c>
      <c r="H142" s="9">
        <v>1480</v>
      </c>
      <c r="I142" s="9"/>
      <c r="J142" s="8">
        <f t="shared" si="34"/>
        <v>1480</v>
      </c>
      <c r="K142" s="8">
        <f t="shared" si="31"/>
        <v>100</v>
      </c>
    </row>
    <row r="143" spans="1:11" ht="36" customHeight="1">
      <c r="A143" s="37" t="s">
        <v>217</v>
      </c>
      <c r="B143" s="37"/>
      <c r="C143" s="37"/>
      <c r="D143" s="37"/>
      <c r="E143" s="8">
        <f>E5+E10+E15+E24+E38+E43+E48+E50+E53+E66+E68++E71+E77+E81+E85+E88+E92+E94+E98+E101+E105+E107+E112+E118+E120+E140+E103+E126+E122+E129+E19</f>
        <v>2096263.46</v>
      </c>
      <c r="F143" s="8">
        <f>F5+F10+F15+F24+F38+F43+F48+F50+F53+F66+F68++F71+F77+F81+F85+F88+F92+F94+F98+F101+F105+F107+F112+F118+F120+F140+F103+F126+F122+F129+F19</f>
        <v>1187867.767</v>
      </c>
      <c r="G143" s="8">
        <f t="shared" si="29"/>
        <v>3284131.227</v>
      </c>
      <c r="H143" s="8">
        <f>H5+H10+H15+H24+H38+H43+H48+H50+H53+H66+H68++H71+H77+H81+H85+H88+H92+H94+H98+H101+H105+H107+H112+H118+H120+H140+H103+H19+H122+H126+H129</f>
        <v>1242159.0079999999</v>
      </c>
      <c r="I143" s="8">
        <f>I5+I10+I15+I24+I38+I43+I48+I50+I53+I66+I68++I71+I77+I81+I85+I88+I92+I94+I98+I101+I105+I107+I112+I118+I120+I140+I103+I19+I122+I126+I129</f>
        <v>422928.74500000005</v>
      </c>
      <c r="J143" s="8">
        <f t="shared" si="34"/>
        <v>1665087.753</v>
      </c>
      <c r="K143" s="8">
        <f>J143/G143*100</f>
        <v>50.701011558573747</v>
      </c>
    </row>
    <row r="144" spans="1:11">
      <c r="A144" s="2"/>
      <c r="B144" s="6"/>
      <c r="C144" s="4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6"/>
      <c r="C145" s="4"/>
      <c r="D145" s="2"/>
      <c r="E145" s="16"/>
      <c r="F145" s="15"/>
      <c r="G145" s="15"/>
      <c r="H145" s="2"/>
      <c r="I145" s="2"/>
      <c r="J145" s="2"/>
      <c r="K145" s="2"/>
    </row>
    <row r="146" spans="1:11">
      <c r="A146" s="2"/>
      <c r="B146" s="6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6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6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6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6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6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6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6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6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6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6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6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6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6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6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6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6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6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6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6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6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6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6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6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6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6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6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6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6"/>
      <c r="C174" s="4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6"/>
      <c r="C175" s="4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6"/>
      <c r="C176" s="4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6"/>
      <c r="C177" s="4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6"/>
      <c r="C178" s="4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6"/>
      <c r="C179" s="4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6"/>
      <c r="C180" s="4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6"/>
      <c r="C181" s="4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6"/>
      <c r="C182" s="4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6"/>
      <c r="C183" s="4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6"/>
      <c r="C184" s="4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6"/>
      <c r="C185" s="4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6"/>
      <c r="C186" s="4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6"/>
      <c r="C187" s="4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6"/>
      <c r="C188" s="4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6"/>
      <c r="C189" s="4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6"/>
      <c r="C190" s="4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6"/>
      <c r="C191" s="4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6"/>
      <c r="C192" s="4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6"/>
      <c r="C193" s="4"/>
      <c r="D193" s="2"/>
      <c r="E193" s="2"/>
      <c r="F193" s="2"/>
      <c r="G193" s="2"/>
      <c r="H193" s="2"/>
      <c r="I193" s="2"/>
      <c r="J193" s="2"/>
      <c r="K193" s="2"/>
    </row>
  </sheetData>
  <mergeCells count="66">
    <mergeCell ref="A53:A65"/>
    <mergeCell ref="D132:D133"/>
    <mergeCell ref="D95:D97"/>
    <mergeCell ref="A98:A100"/>
    <mergeCell ref="A68:A70"/>
    <mergeCell ref="A77:A80"/>
    <mergeCell ref="D72:D74"/>
    <mergeCell ref="D78:D80"/>
    <mergeCell ref="A85:A87"/>
    <mergeCell ref="A81:A84"/>
    <mergeCell ref="D86:D87"/>
    <mergeCell ref="A94:A97"/>
    <mergeCell ref="D82:D84"/>
    <mergeCell ref="A105:A106"/>
    <mergeCell ref="A1:J1"/>
    <mergeCell ref="D2:E2"/>
    <mergeCell ref="A71:A76"/>
    <mergeCell ref="A48:A49"/>
    <mergeCell ref="A50:A52"/>
    <mergeCell ref="A66:A67"/>
    <mergeCell ref="D12:D14"/>
    <mergeCell ref="A15:A18"/>
    <mergeCell ref="D8:D9"/>
    <mergeCell ref="D16:D18"/>
    <mergeCell ref="A24:A35"/>
    <mergeCell ref="D39:D42"/>
    <mergeCell ref="A19:A23"/>
    <mergeCell ref="D51:D52"/>
    <mergeCell ref="D21:D22"/>
    <mergeCell ref="A43:A47"/>
    <mergeCell ref="D44:D46"/>
    <mergeCell ref="D54:D64"/>
    <mergeCell ref="A143:D143"/>
    <mergeCell ref="A129:A139"/>
    <mergeCell ref="C141:C142"/>
    <mergeCell ref="D113:D116"/>
    <mergeCell ref="A118:A119"/>
    <mergeCell ref="D99:D100"/>
    <mergeCell ref="A140:A141"/>
    <mergeCell ref="A5:A9"/>
    <mergeCell ref="A10:A14"/>
    <mergeCell ref="A38:A42"/>
    <mergeCell ref="D89:D91"/>
    <mergeCell ref="A107:A111"/>
    <mergeCell ref="D127:D128"/>
    <mergeCell ref="A126:A128"/>
    <mergeCell ref="A122:A125"/>
    <mergeCell ref="D123:D125"/>
    <mergeCell ref="A120:A121"/>
    <mergeCell ref="A103:A104"/>
    <mergeCell ref="A88:A91"/>
    <mergeCell ref="A92:A93"/>
    <mergeCell ref="D25:D36"/>
    <mergeCell ref="A101:A102"/>
    <mergeCell ref="B3:B4"/>
    <mergeCell ref="A3:A4"/>
    <mergeCell ref="C3:C4"/>
    <mergeCell ref="D3:D4"/>
    <mergeCell ref="H3:J3"/>
    <mergeCell ref="K3:K4"/>
    <mergeCell ref="E3:G3"/>
    <mergeCell ref="D138:D139"/>
    <mergeCell ref="D130:D131"/>
    <mergeCell ref="A112:A117"/>
    <mergeCell ref="D135:D137"/>
    <mergeCell ref="D108:D111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budget-v</cp:lastModifiedBy>
  <cp:lastPrinted>2023-08-25T11:44:11Z</cp:lastPrinted>
  <dcterms:created xsi:type="dcterms:W3CDTF">2019-01-30T14:30:49Z</dcterms:created>
  <dcterms:modified xsi:type="dcterms:W3CDTF">2023-08-25T11:44:41Z</dcterms:modified>
</cp:coreProperties>
</file>