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576" windowHeight="9732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Лист1!$A$1:$K$126</definedName>
  </definedNames>
  <calcPr calcId="124519" fullCalcOnLoad="1"/>
</workbook>
</file>

<file path=xl/calcChain.xml><?xml version="1.0" encoding="utf-8"?>
<calcChain xmlns="http://schemas.openxmlformats.org/spreadsheetml/2006/main">
  <c r="H112" i="4"/>
  <c r="H99"/>
  <c r="H97"/>
  <c r="H95" s="1"/>
  <c r="J95" s="1"/>
  <c r="H40"/>
  <c r="H37"/>
  <c r="H35" s="1"/>
  <c r="J35" s="1"/>
  <c r="H31"/>
  <c r="H30"/>
  <c r="H27"/>
  <c r="J27" s="1"/>
  <c r="K27" s="1"/>
  <c r="H26"/>
  <c r="H25"/>
  <c r="J25" s="1"/>
  <c r="H23"/>
  <c r="H22"/>
  <c r="J22" s="1"/>
  <c r="K22" s="1"/>
  <c r="H21"/>
  <c r="H15"/>
  <c r="H9"/>
  <c r="J9" s="1"/>
  <c r="K9" s="1"/>
  <c r="I8"/>
  <c r="J8" s="1"/>
  <c r="K8" s="1"/>
  <c r="H92"/>
  <c r="J92" s="1"/>
  <c r="K92" s="1"/>
  <c r="H79"/>
  <c r="J79" s="1"/>
  <c r="K79" s="1"/>
  <c r="H77"/>
  <c r="H56"/>
  <c r="H50"/>
  <c r="J50" s="1"/>
  <c r="K50" s="1"/>
  <c r="H41"/>
  <c r="H32"/>
  <c r="H29"/>
  <c r="J29" s="1"/>
  <c r="K29" s="1"/>
  <c r="H28"/>
  <c r="I23"/>
  <c r="I22"/>
  <c r="I21"/>
  <c r="J21" s="1"/>
  <c r="K21" s="1"/>
  <c r="H18"/>
  <c r="H17" s="1"/>
  <c r="H16"/>
  <c r="H104"/>
  <c r="E104"/>
  <c r="E102" s="1"/>
  <c r="G102" s="1"/>
  <c r="F103"/>
  <c r="F102"/>
  <c r="E103"/>
  <c r="H102"/>
  <c r="I102"/>
  <c r="J102" s="1"/>
  <c r="K102" s="1"/>
  <c r="G105"/>
  <c r="J105"/>
  <c r="K105" s="1"/>
  <c r="I116"/>
  <c r="I98"/>
  <c r="I99"/>
  <c r="I95"/>
  <c r="H98"/>
  <c r="E98"/>
  <c r="E99"/>
  <c r="E95"/>
  <c r="F98"/>
  <c r="F95" s="1"/>
  <c r="F99"/>
  <c r="I115"/>
  <c r="H116"/>
  <c r="H115" s="1"/>
  <c r="J115" s="1"/>
  <c r="E115"/>
  <c r="F115"/>
  <c r="G115" s="1"/>
  <c r="H13"/>
  <c r="J13" s="1"/>
  <c r="K13" s="1"/>
  <c r="H10"/>
  <c r="J10" s="1"/>
  <c r="I10"/>
  <c r="E16"/>
  <c r="E15"/>
  <c r="E13"/>
  <c r="G13" s="1"/>
  <c r="E10"/>
  <c r="G10" s="1"/>
  <c r="F10"/>
  <c r="I17"/>
  <c r="E17"/>
  <c r="G17" s="1"/>
  <c r="F17"/>
  <c r="H24"/>
  <c r="H20"/>
  <c r="J20" s="1"/>
  <c r="I20"/>
  <c r="E21"/>
  <c r="E22"/>
  <c r="E23"/>
  <c r="E20" s="1"/>
  <c r="E25"/>
  <c r="G25" s="1"/>
  <c r="E26"/>
  <c r="E27"/>
  <c r="E28"/>
  <c r="E29"/>
  <c r="E30"/>
  <c r="G30" s="1"/>
  <c r="E31"/>
  <c r="E33"/>
  <c r="E34"/>
  <c r="F21"/>
  <c r="F22"/>
  <c r="F23"/>
  <c r="F20"/>
  <c r="I35"/>
  <c r="E35"/>
  <c r="G35" s="1"/>
  <c r="F35"/>
  <c r="H39"/>
  <c r="J39" s="1"/>
  <c r="I39"/>
  <c r="E40"/>
  <c r="E39" s="1"/>
  <c r="G39" s="1"/>
  <c r="F39"/>
  <c r="H48"/>
  <c r="J48" s="1"/>
  <c r="K48" s="1"/>
  <c r="H51"/>
  <c r="J51" s="1"/>
  <c r="K51" s="1"/>
  <c r="H54"/>
  <c r="I47"/>
  <c r="E47"/>
  <c r="G47" s="1"/>
  <c r="F47"/>
  <c r="H55"/>
  <c r="J55" s="1"/>
  <c r="K55" s="1"/>
  <c r="I55"/>
  <c r="E55"/>
  <c r="G55" s="1"/>
  <c r="F55"/>
  <c r="H76"/>
  <c r="J76" s="1"/>
  <c r="K76" s="1"/>
  <c r="I76"/>
  <c r="E77"/>
  <c r="E79"/>
  <c r="E76"/>
  <c r="G76" s="1"/>
  <c r="F76"/>
  <c r="H91"/>
  <c r="I91"/>
  <c r="J91"/>
  <c r="K91" s="1"/>
  <c r="E91"/>
  <c r="G91" s="1"/>
  <c r="F91"/>
  <c r="H6"/>
  <c r="H5"/>
  <c r="E5"/>
  <c r="G5" s="1"/>
  <c r="F5"/>
  <c r="H110"/>
  <c r="J110" s="1"/>
  <c r="K110" s="1"/>
  <c r="I110"/>
  <c r="E110"/>
  <c r="F110"/>
  <c r="G110"/>
  <c r="J125"/>
  <c r="K125" s="1"/>
  <c r="G125"/>
  <c r="H124"/>
  <c r="I124"/>
  <c r="J124"/>
  <c r="E124"/>
  <c r="G124" s="1"/>
  <c r="F124"/>
  <c r="J33"/>
  <c r="K33" s="1"/>
  <c r="G33"/>
  <c r="J34"/>
  <c r="K34" s="1"/>
  <c r="G34"/>
  <c r="E60"/>
  <c r="G60" s="1"/>
  <c r="E59"/>
  <c r="G59" s="1"/>
  <c r="E72"/>
  <c r="G72" s="1"/>
  <c r="K72" s="1"/>
  <c r="I69"/>
  <c r="I68" s="1"/>
  <c r="J68" s="1"/>
  <c r="I70"/>
  <c r="H68"/>
  <c r="E68"/>
  <c r="G68" s="1"/>
  <c r="F68"/>
  <c r="E73"/>
  <c r="E71"/>
  <c r="G71" s="1"/>
  <c r="F73"/>
  <c r="F71" s="1"/>
  <c r="H71"/>
  <c r="I71"/>
  <c r="J71"/>
  <c r="K71" s="1"/>
  <c r="F60"/>
  <c r="F59" s="1"/>
  <c r="H60"/>
  <c r="J60" s="1"/>
  <c r="H59"/>
  <c r="I60"/>
  <c r="I59" s="1"/>
  <c r="H43"/>
  <c r="J43" s="1"/>
  <c r="K43" s="1"/>
  <c r="I43"/>
  <c r="E43"/>
  <c r="G43" s="1"/>
  <c r="F43"/>
  <c r="H45"/>
  <c r="J45" s="1"/>
  <c r="K45" s="1"/>
  <c r="I45"/>
  <c r="E45"/>
  <c r="F45"/>
  <c r="G45"/>
  <c r="H57"/>
  <c r="J57" s="1"/>
  <c r="K57" s="1"/>
  <c r="I57"/>
  <c r="E57"/>
  <c r="F57"/>
  <c r="G57"/>
  <c r="H61"/>
  <c r="J61" s="1"/>
  <c r="K61" s="1"/>
  <c r="I61"/>
  <c r="E61"/>
  <c r="G61" s="1"/>
  <c r="F61"/>
  <c r="H64"/>
  <c r="I64"/>
  <c r="J64"/>
  <c r="K64" s="1"/>
  <c r="E64"/>
  <c r="G64" s="1"/>
  <c r="F64"/>
  <c r="H74"/>
  <c r="I74"/>
  <c r="J74"/>
  <c r="K74" s="1"/>
  <c r="E74"/>
  <c r="G74" s="1"/>
  <c r="F74"/>
  <c r="H80"/>
  <c r="J80" s="1"/>
  <c r="I80"/>
  <c r="E80"/>
  <c r="G80" s="1"/>
  <c r="F80"/>
  <c r="H85"/>
  <c r="H84" s="1"/>
  <c r="J84" s="1"/>
  <c r="K84" s="1"/>
  <c r="I84"/>
  <c r="E84"/>
  <c r="F84"/>
  <c r="G84"/>
  <c r="H86"/>
  <c r="J86" s="1"/>
  <c r="K86" s="1"/>
  <c r="I86"/>
  <c r="E86"/>
  <c r="G86" s="1"/>
  <c r="F86"/>
  <c r="H89"/>
  <c r="H88" s="1"/>
  <c r="J88" s="1"/>
  <c r="I88"/>
  <c r="E88"/>
  <c r="G88" s="1"/>
  <c r="F88"/>
  <c r="H100"/>
  <c r="J100" s="1"/>
  <c r="I100"/>
  <c r="E100"/>
  <c r="F101"/>
  <c r="F100" s="1"/>
  <c r="G100" s="1"/>
  <c r="H117"/>
  <c r="J117" s="1"/>
  <c r="K117" s="1"/>
  <c r="I117"/>
  <c r="E118"/>
  <c r="E119"/>
  <c r="E117" s="1"/>
  <c r="G117" s="1"/>
  <c r="E120"/>
  <c r="G120" s="1"/>
  <c r="E121"/>
  <c r="F117"/>
  <c r="J122"/>
  <c r="E123"/>
  <c r="E122" s="1"/>
  <c r="G122" s="1"/>
  <c r="K122" s="1"/>
  <c r="F123"/>
  <c r="F122" s="1"/>
  <c r="H106"/>
  <c r="J106" s="1"/>
  <c r="K106" s="1"/>
  <c r="I106"/>
  <c r="E106"/>
  <c r="F106"/>
  <c r="G106"/>
  <c r="H122"/>
  <c r="J123" s="1"/>
  <c r="I122"/>
  <c r="J119"/>
  <c r="G119"/>
  <c r="K119"/>
  <c r="J120"/>
  <c r="J121"/>
  <c r="G121"/>
  <c r="K121"/>
  <c r="J118"/>
  <c r="K118" s="1"/>
  <c r="G118"/>
  <c r="J112"/>
  <c r="J113"/>
  <c r="K113" s="1"/>
  <c r="J114"/>
  <c r="K114" s="1"/>
  <c r="J111"/>
  <c r="K111" s="1"/>
  <c r="G111"/>
  <c r="G112"/>
  <c r="K112"/>
  <c r="G113"/>
  <c r="G114"/>
  <c r="J108"/>
  <c r="G108"/>
  <c r="K108"/>
  <c r="J109"/>
  <c r="K109" s="1"/>
  <c r="G109"/>
  <c r="J107"/>
  <c r="G107"/>
  <c r="K107"/>
  <c r="J42"/>
  <c r="K42" s="1"/>
  <c r="G42"/>
  <c r="G9"/>
  <c r="J12"/>
  <c r="K12" s="1"/>
  <c r="G12"/>
  <c r="J14"/>
  <c r="G14"/>
  <c r="K14"/>
  <c r="G11"/>
  <c r="G8"/>
  <c r="J15"/>
  <c r="K15" s="1"/>
  <c r="G15"/>
  <c r="J32"/>
  <c r="K32" s="1"/>
  <c r="G32"/>
  <c r="J96"/>
  <c r="K96" s="1"/>
  <c r="G96"/>
  <c r="J67"/>
  <c r="J81"/>
  <c r="K81" s="1"/>
  <c r="J46"/>
  <c r="K46" s="1"/>
  <c r="G18"/>
  <c r="J18"/>
  <c r="K18" s="1"/>
  <c r="G19"/>
  <c r="J19"/>
  <c r="G23"/>
  <c r="G27"/>
  <c r="G81"/>
  <c r="G90"/>
  <c r="J90"/>
  <c r="J103"/>
  <c r="K103" s="1"/>
  <c r="G103"/>
  <c r="J104"/>
  <c r="G104"/>
  <c r="K104"/>
  <c r="J63"/>
  <c r="G63"/>
  <c r="J94"/>
  <c r="G94"/>
  <c r="K94"/>
  <c r="G73"/>
  <c r="J73"/>
  <c r="K73" s="1"/>
  <c r="J66"/>
  <c r="G79"/>
  <c r="G66"/>
  <c r="K66" s="1"/>
  <c r="G75"/>
  <c r="J78"/>
  <c r="G78"/>
  <c r="K78"/>
  <c r="J77"/>
  <c r="K77" s="1"/>
  <c r="J58"/>
  <c r="G58"/>
  <c r="G67"/>
  <c r="K67"/>
  <c r="J65"/>
  <c r="K65" s="1"/>
  <c r="G70"/>
  <c r="G69"/>
  <c r="J83"/>
  <c r="G83"/>
  <c r="J82"/>
  <c r="K82" s="1"/>
  <c r="G82"/>
  <c r="G85"/>
  <c r="G87"/>
  <c r="J87"/>
  <c r="J89"/>
  <c r="G89"/>
  <c r="G116"/>
  <c r="J54"/>
  <c r="K54" s="1"/>
  <c r="G54"/>
  <c r="J53"/>
  <c r="G53"/>
  <c r="K53"/>
  <c r="J52"/>
  <c r="K52" s="1"/>
  <c r="G51"/>
  <c r="G50"/>
  <c r="J49"/>
  <c r="K49" s="1"/>
  <c r="G49"/>
  <c r="G48"/>
  <c r="J44"/>
  <c r="K44" s="1"/>
  <c r="G44"/>
  <c r="J41"/>
  <c r="K41" s="1"/>
  <c r="G41"/>
  <c r="J40"/>
  <c r="K40" s="1"/>
  <c r="G40"/>
  <c r="J38"/>
  <c r="K38" s="1"/>
  <c r="G38"/>
  <c r="J37"/>
  <c r="K37" s="1"/>
  <c r="G37"/>
  <c r="J36"/>
  <c r="K36" s="1"/>
  <c r="G36"/>
  <c r="J31"/>
  <c r="K31" s="1"/>
  <c r="G31"/>
  <c r="J30"/>
  <c r="K30" s="1"/>
  <c r="G29"/>
  <c r="J28"/>
  <c r="K28" s="1"/>
  <c r="G28"/>
  <c r="J26"/>
  <c r="K26" s="1"/>
  <c r="G26"/>
  <c r="J24"/>
  <c r="K24" s="1"/>
  <c r="G24"/>
  <c r="J23"/>
  <c r="K23" s="1"/>
  <c r="G22"/>
  <c r="G21"/>
  <c r="J16"/>
  <c r="K16" s="1"/>
  <c r="G16"/>
  <c r="J11"/>
  <c r="K11" s="1"/>
  <c r="J7"/>
  <c r="G7"/>
  <c r="K7" s="1"/>
  <c r="J6"/>
  <c r="K6" s="1"/>
  <c r="G6"/>
  <c r="G93"/>
  <c r="G92"/>
  <c r="J62"/>
  <c r="J72"/>
  <c r="J101"/>
  <c r="G99"/>
  <c r="K99" s="1"/>
  <c r="G98"/>
  <c r="G97"/>
  <c r="J99"/>
  <c r="K87"/>
  <c r="G56"/>
  <c r="J70"/>
  <c r="K70" s="1"/>
  <c r="J56"/>
  <c r="K56" s="1"/>
  <c r="J98"/>
  <c r="K98" s="1"/>
  <c r="K58"/>
  <c r="K63"/>
  <c r="G77"/>
  <c r="G46"/>
  <c r="J93"/>
  <c r="K93" s="1"/>
  <c r="G65"/>
  <c r="G62"/>
  <c r="K62" s="1"/>
  <c r="G52"/>
  <c r="K89"/>
  <c r="K83"/>
  <c r="J116"/>
  <c r="K116" s="1"/>
  <c r="J75"/>
  <c r="K75" s="1"/>
  <c r="K90"/>
  <c r="K19"/>
  <c r="F126" l="1"/>
  <c r="G20"/>
  <c r="E126"/>
  <c r="K120"/>
  <c r="K100"/>
  <c r="K60"/>
  <c r="K68"/>
  <c r="K39"/>
  <c r="K115"/>
  <c r="K123"/>
  <c r="K80"/>
  <c r="J59"/>
  <c r="K59" s="1"/>
  <c r="K25"/>
  <c r="J17"/>
  <c r="K17" s="1"/>
  <c r="K101"/>
  <c r="K20"/>
  <c r="K10"/>
  <c r="K88"/>
  <c r="K124"/>
  <c r="G95"/>
  <c r="K95" s="1"/>
  <c r="K35"/>
  <c r="J97"/>
  <c r="K97" s="1"/>
  <c r="J69"/>
  <c r="K69" s="1"/>
  <c r="J85"/>
  <c r="K85" s="1"/>
  <c r="G101"/>
  <c r="I5"/>
  <c r="I126" s="1"/>
  <c r="H47"/>
  <c r="J47" s="1"/>
  <c r="K47" s="1"/>
  <c r="G123"/>
  <c r="G126" l="1"/>
  <c r="J5"/>
  <c r="K5" s="1"/>
  <c r="H126"/>
  <c r="J126" s="1"/>
  <c r="K126" l="1"/>
</calcChain>
</file>

<file path=xl/sharedStrings.xml><?xml version="1.0" encoding="utf-8"?>
<sst xmlns="http://schemas.openxmlformats.org/spreadsheetml/2006/main" count="287" uniqueCount="208">
  <si>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</si>
  <si>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</si>
  <si>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</si>
  <si>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</si>
  <si>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</si>
  <si>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</si>
  <si>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</si>
  <si>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</si>
  <si>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</si>
  <si>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</si>
  <si>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</si>
  <si>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</si>
  <si>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</si>
  <si>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</si>
  <si>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</si>
  <si>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</si>
  <si>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</si>
  <si>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</si>
  <si>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</si>
  <si>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</si>
  <si>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</si>
  <si>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</si>
  <si>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</si>
  <si>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</si>
  <si>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</si>
  <si>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</si>
  <si>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підттримка кіноматографії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</si>
  <si>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</si>
  <si>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</si>
  <si>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</si>
  <si>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</si>
  <si>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</si>
  <si>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</si>
  <si>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</si>
  <si>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</si>
  <si>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</si>
  <si>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</si>
  <si>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</si>
  <si>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</si>
  <si>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</si>
  <si>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</si>
  <si>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</si>
  <si>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</si>
  <si>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</si>
  <si>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</si>
  <si>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</si>
  <si>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</si>
  <si>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</si>
  <si>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</si>
  <si>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</si>
  <si>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</si>
  <si>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</si>
  <si>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</si>
  <si>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</si>
  <si>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</si>
  <si>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</si>
  <si>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Утримання та фінансова підтримка спортивних споруд</t>
  </si>
  <si>
    <t>1115041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</si>
  <si>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</si>
  <si>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</si>
  <si>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</si>
  <si>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</si>
  <si>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</si>
  <si>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</si>
  <si>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</si>
  <si>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Реалізація програм у галузі лісового господарства і мисливства</t>
  </si>
  <si>
    <t>2818320</t>
  </si>
  <si>
    <t>2519770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</si>
  <si>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</si>
  <si>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Програма відновлення, збереження національної пам"яті та протокольних заходів на 2021-2025 роки                                                                       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</si>
  <si>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</si>
  <si>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</si>
  <si>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</si>
  <si>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</si>
  <si>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</si>
  <si>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</si>
  <si>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</si>
  <si>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</si>
  <si>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</si>
  <si>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</si>
  <si>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</si>
  <si>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</si>
  <si>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</si>
  <si>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</si>
  <si>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</si>
  <si>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</si>
  <si>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</si>
  <si>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</si>
  <si>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0712040</t>
  </si>
  <si>
    <t>Санаторно-курортна допомога населенню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</si>
  <si>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</si>
  <si>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</si>
  <si>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</si>
  <si>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</si>
  <si>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</si>
  <si>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</si>
  <si>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</si>
  <si>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</si>
  <si>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</si>
  <si>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</si>
  <si>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</si>
  <si>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</si>
  <si>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</si>
  <si>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</si>
  <si>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</si>
  <si>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</si>
  <si>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Комплексна програма розвитку фізичної культури та спорту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</si>
  <si>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</si>
  <si>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</si>
  <si>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</si>
  <si>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</si>
  <si>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</si>
  <si>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</si>
  <si>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</si>
  <si>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</si>
  <si>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</si>
  <si>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</si>
  <si>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</si>
  <si>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</si>
  <si>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</si>
  <si>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</si>
  <si>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</si>
  <si>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</si>
  <si>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</si>
  <si>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</si>
  <si>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</si>
  <si>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</si>
  <si>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</si>
  <si>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</si>
  <si>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Субвенція з місцевого бюджету державному бюджету</t>
  </si>
  <si>
    <t>Обласна програма "Молодь Львівщини" на 2021-2025 роки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</si>
  <si>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</si>
  <si>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</si>
  <si>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</si>
  <si>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</si>
  <si>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</si>
  <si>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</si>
  <si>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</si>
  <si>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</si>
  <si>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Програма виконання судових рішень та виконавчих документів на 2020-2022 роки</t>
  </si>
  <si>
    <t>0717693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</si>
  <si>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 Cyr"/>
        <family val="1"/>
        <charset val="204"/>
      </rPr>
      <t>язані з економічною діяльністю</t>
    </r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</si>
  <si>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</si>
  <si>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</si>
  <si>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</si>
  <si>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</si>
  <si>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Комплексна програма соціальної підтримки у Львіській області учасників АТО (ООС) та їхніх родин, бійців добровольців АТО, а також родин Героїв Небесної Сотні на 2021-2025 роки</t>
  </si>
  <si>
    <t>1113131</t>
  </si>
  <si>
    <t>2418861</t>
  </si>
  <si>
    <t>Надання бюджетних позичок суб'єктам господарювання</t>
  </si>
  <si>
    <t>1614082</t>
  </si>
  <si>
    <t>Субвенція з місцевого бюджету на виконання інвестиційних проектів</t>
  </si>
  <si>
    <t>тис. грн</t>
  </si>
  <si>
    <t>2719770</t>
  </si>
  <si>
    <t>Відсоток фінансування</t>
  </si>
  <si>
    <t>0719710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</si>
  <si>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</si>
  <si>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</si>
  <si>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</si>
  <si>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</si>
  <si>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</si>
  <si>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</si>
  <si>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>Програма розвитку лісового господарства Львівської області на 2022-2026 роки</t>
  </si>
  <si>
    <t xml:space="preserve">Інші субвенції з місцевого бюджету               </t>
  </si>
  <si>
    <t>Управління капітального будівництва</t>
  </si>
  <si>
    <t>2819720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</si>
  <si>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</si>
  <si>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</si>
  <si>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</si>
  <si>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</si>
  <si>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</si>
  <si>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</si>
  <si>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3513033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</si>
  <si>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</si>
  <si>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</si>
  <si>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</si>
  <si>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</si>
  <si>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3517413</t>
  </si>
  <si>
    <t>Інші заходи у сфері автотранспорту</t>
  </si>
  <si>
    <t>3517530</t>
  </si>
  <si>
    <t>Інші заходи у сфері зв'язку, телекомунікації та інформатики</t>
  </si>
  <si>
    <t>Програма покращення якості надання публічних послуг органами виконавчої влади на 2022 рік</t>
  </si>
  <si>
    <t>Регіональна програма інформатизації "Цифрова Львівщина" на 2022-2024 роки</t>
  </si>
  <si>
    <t>Стан фінансування обласних програм у 2022 році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</si>
  <si>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</si>
  <si>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</si>
  <si>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Департамент дорожнього господарства</t>
  </si>
  <si>
    <t xml:space="preserve">Департамент соціального захисту населення </t>
  </si>
  <si>
    <t>Департамент паливно-енергетичного комплексу, енергоефективності та житлово-комунального господарства</t>
  </si>
  <si>
    <t>Програма реалізації пріорітетних інфраструктурних проєктів у Львівській області</t>
  </si>
  <si>
    <t xml:space="preserve">Інші програми та заходи у сфері освіти             </t>
  </si>
  <si>
    <t>Субвенція з місцевого бюджету на виконання інвестиційних програм та проєктів</t>
  </si>
  <si>
    <t>2719720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</si>
  <si>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</si>
  <si>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</si>
  <si>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1917450</t>
  </si>
  <si>
    <t>Інша діяльність у сфері транспорту</t>
  </si>
  <si>
    <t>2613230</t>
  </si>
  <si>
    <t>3517450</t>
  </si>
  <si>
    <t>Програма підтримки бізнесу у Львівській області на період воєнного стану</t>
  </si>
  <si>
    <t>Комплексна програма підтримки внутрішньо переміщених осіб на період дії воєнного стану в Україні</t>
  </si>
  <si>
    <t>1317693</t>
  </si>
  <si>
    <t>0719770</t>
  </si>
  <si>
    <t>0719410</t>
  </si>
  <si>
    <t>Субвенція з місцевого бюджету на закупівлю опорними закладами охорони здоров'я послуг щодо проектування та встановлення кисневих станцій за рахунок залишку коштів відповідної субвенції з державного бюджету, що утворився на початок бюджетного періоду</t>
  </si>
  <si>
    <t>Програма виконання судових рішень та виконавчих документів на 2022-2025 роки</t>
  </si>
  <si>
    <t>Станом на 20.05.2022</t>
  </si>
  <si>
    <r>
      <t xml:space="preserve"> 2022 рік </t>
    </r>
    <r>
      <rPr>
        <sz val="14"/>
        <rFont val="Times New Roman"/>
        <family val="1"/>
        <charset val="204"/>
      </rPr>
      <t>(станом на 20.05.2022)</t>
    </r>
  </si>
</sst>
</file>

<file path=xl/styles.xml><?xml version="1.0" encoding="utf-8"?>
<styleSheet xmlns="http://schemas.openxmlformats.org/spreadsheetml/2006/main">
  <numFmts count="15">
    <numFmt numFmtId="180" formatCode="#,##0\ &quot;z?&quot;;[Red]\-#,##0\ &quot;z?&quot;"/>
    <numFmt numFmtId="181" formatCode="#,##0.00\ &quot;z?&quot;;[Red]\-#,##0.00\ &quot;z?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-* #,##0\ &quot;р.&quot;_-;\-* #,##0\ &quot;р.&quot;_-;_-* &quot;-&quot;\ &quot;р.&quot;_-;_-@_-"/>
    <numFmt numFmtId="185" formatCode="_-* #,##0.00\ &quot;р.&quot;_-;\-* #,##0.00\ &quot;р.&quot;_-;_-* &quot;-&quot;??\ &quot;р.&quot;_-;_-@_-"/>
    <numFmt numFmtId="186" formatCode="_-* #,##0\ _z_?_-;\-* #,##0\ _z_?_-;_-* &quot;-&quot;\ _z_?_-;_-@_-"/>
    <numFmt numFmtId="187" formatCode="_-* #,##0.00\ _z_?_-;\-* #,##0.00\ _z_?_-;_-* &quot;-&quot;??\ _z_?_-;_-@_-"/>
    <numFmt numFmtId="188" formatCode="#,##0.\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* #,##0.00\ &quot;грн.&quot;_-;\-* #,##0.00\ &quot;грн.&quot;_-;_-* &quot;-&quot;??\ &quot;грн.&quot;_-;_-@_-"/>
    <numFmt numFmtId="193" formatCode="_-* #,##0.00\ _г_р_н_._-;\-* #,##0.00\ _г_р_н_._-;_-* &quot;-&quot;??\ _г_р_н_._-;_-@_-"/>
    <numFmt numFmtId="195" formatCode="#,##0\ &quot;грн.&quot;;\-#,##0\ &quot;грн.&quot;"/>
    <numFmt numFmtId="196" formatCode="#,##0.0"/>
  </numFmts>
  <fonts count="4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6" fontId="12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8" fontId="15" fillId="16" borderId="0"/>
    <xf numFmtId="0" fontId="16" fillId="17" borderId="0"/>
    <xf numFmtId="18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1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9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38" fillId="0" borderId="0" applyFont="0" applyFill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48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6" fontId="16" fillId="0" borderId="11" xfId="0" applyNumberFormat="1" applyFont="1" applyFill="1" applyBorder="1" applyAlignment="1">
      <alignment horizontal="center" vertical="center" wrapText="1"/>
    </xf>
    <xf numFmtId="196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196" fontId="40" fillId="0" borderId="11" xfId="0" applyNumberFormat="1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96" fontId="16" fillId="0" borderId="14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196" fontId="39" fillId="0" borderId="11" xfId="0" applyNumberFormat="1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47" fillId="0" borderId="15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4" fontId="46" fillId="0" borderId="12" xfId="0" applyNumberFormat="1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17" fillId="0" borderId="15" xfId="0" applyNumberFormat="1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customBuiltin="1"/>
    <cellStyle name="Акцентування2" xfId="135" customBuiltin="1"/>
    <cellStyle name="Акцентування3" xfId="136" customBuiltin="1"/>
    <cellStyle name="Акцентування4" xfId="137" customBuiltin="1"/>
    <cellStyle name="Акцентування5" xfId="138" customBuiltin="1"/>
    <cellStyle name="Акцентування6" xfId="139" customBuiltin="1"/>
    <cellStyle name="Ввід" xfId="140" customBuiltin="1"/>
    <cellStyle name="Ввод " xfId="141"/>
    <cellStyle name="Вывод" xfId="142"/>
    <cellStyle name="Вычисление" xfId="143"/>
    <cellStyle name="Гарний" xfId="144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customBuiltin="1"/>
    <cellStyle name="Итог" xfId="181"/>
    <cellStyle name="Контрольна клітинка" xfId="182" customBuiltin="1"/>
    <cellStyle name="Контрольная ячейка" xfId="183"/>
    <cellStyle name="Назва" xfId="184" customBuiltin="1"/>
    <cellStyle name="Название" xfId="185"/>
    <cellStyle name="Нейтральний" xfId="186" customBuiltin="1"/>
    <cellStyle name="Нейтральний 2" xfId="187"/>
    <cellStyle name="Нейтральный" xfId="188"/>
    <cellStyle name="Обчислення" xfId="189" customBuiltin="1"/>
    <cellStyle name="Обычный" xfId="0" builtinId="0"/>
    <cellStyle name="Обычный 2" xfId="190"/>
    <cellStyle name="Обычный 2 2" xfId="191"/>
    <cellStyle name="Обычный 2 2 2" xfId="192"/>
    <cellStyle name="Обычный 2 3" xfId="193"/>
    <cellStyle name="Підсумок" xfId="194" customBuiltin="1"/>
    <cellStyle name="Плохой" xfId="195"/>
    <cellStyle name="Поганий" xfId="196" customBuiltin="1"/>
    <cellStyle name="Пояснение" xfId="197"/>
    <cellStyle name="Примечание" xfId="198"/>
    <cellStyle name="Примечание 2" xfId="199"/>
    <cellStyle name="Примітка" xfId="200" customBuiltin="1"/>
    <cellStyle name="Результат" xfId="201" customBuiltin="1"/>
    <cellStyle name="Связанная ячейка" xfId="202"/>
    <cellStyle name="Середній" xfId="203"/>
    <cellStyle name="Стиль 1" xfId="204"/>
    <cellStyle name="Текст попередження" xfId="205" customBuiltin="1"/>
    <cellStyle name="Текст пояснення" xfId="206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74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127" sqref="A127:IV138"/>
    </sheetView>
  </sheetViews>
  <sheetFormatPr defaultColWidth="9.109375" defaultRowHeight="18"/>
  <cols>
    <col min="1" max="1" width="7" style="3" customWidth="1"/>
    <col min="2" max="2" width="15.109375" style="7" customWidth="1"/>
    <col min="3" max="3" width="49.6640625" style="5" customWidth="1"/>
    <col min="4" max="4" width="30" style="3" customWidth="1"/>
    <col min="5" max="5" width="16.33203125" style="3" customWidth="1"/>
    <col min="6" max="6" width="15.5546875" style="3" customWidth="1"/>
    <col min="7" max="7" width="15.44140625" style="3" customWidth="1"/>
    <col min="8" max="8" width="16.5546875" style="3" customWidth="1"/>
    <col min="9" max="9" width="16" style="3" customWidth="1"/>
    <col min="10" max="10" width="15.44140625" style="3" customWidth="1"/>
    <col min="11" max="11" width="12" style="3" customWidth="1"/>
    <col min="12" max="16384" width="9.109375" style="3"/>
  </cols>
  <sheetData>
    <row r="1" spans="1:11" ht="18.75" customHeight="1">
      <c r="A1" s="43" t="s">
        <v>183</v>
      </c>
      <c r="B1" s="43"/>
      <c r="C1" s="43"/>
      <c r="D1" s="43"/>
      <c r="E1" s="43"/>
      <c r="F1" s="43"/>
      <c r="G1" s="43"/>
      <c r="H1" s="43"/>
      <c r="I1" s="43"/>
      <c r="J1" s="43"/>
      <c r="K1" s="11"/>
    </row>
    <row r="2" spans="1:11">
      <c r="A2" s="2" t="s">
        <v>14</v>
      </c>
      <c r="B2" s="6"/>
      <c r="C2" s="4"/>
      <c r="D2" s="44" t="s">
        <v>206</v>
      </c>
      <c r="E2" s="44"/>
      <c r="F2" s="2"/>
      <c r="G2" s="2"/>
      <c r="H2" s="2"/>
      <c r="I2" s="2"/>
      <c r="J2" s="14" t="s">
        <v>152</v>
      </c>
      <c r="K2" s="14"/>
    </row>
    <row r="3" spans="1:11" ht="28.95" customHeight="1">
      <c r="A3" s="36" t="s">
        <v>6</v>
      </c>
      <c r="B3" s="37" t="s">
        <v>25</v>
      </c>
      <c r="C3" s="36" t="s">
        <v>5</v>
      </c>
      <c r="D3" s="36" t="s">
        <v>0</v>
      </c>
      <c r="E3" s="39" t="s">
        <v>7</v>
      </c>
      <c r="F3" s="40"/>
      <c r="G3" s="41"/>
      <c r="H3" s="36" t="s">
        <v>8</v>
      </c>
      <c r="I3" s="36"/>
      <c r="J3" s="36"/>
      <c r="K3" s="36" t="s">
        <v>154</v>
      </c>
    </row>
    <row r="4" spans="1:11" ht="112.5" customHeight="1">
      <c r="A4" s="36"/>
      <c r="B4" s="38"/>
      <c r="C4" s="36"/>
      <c r="D4" s="36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6"/>
    </row>
    <row r="5" spans="1:11" ht="112.5" customHeight="1">
      <c r="A5" s="36">
        <v>1</v>
      </c>
      <c r="B5" s="10" t="s">
        <v>48</v>
      </c>
      <c r="C5" s="20" t="s">
        <v>69</v>
      </c>
      <c r="D5" s="16" t="s">
        <v>11</v>
      </c>
      <c r="E5" s="8">
        <f>E6+E7+E9+E8</f>
        <v>5920</v>
      </c>
      <c r="F5" s="8">
        <f>F6+F7+F9+F8</f>
        <v>2200</v>
      </c>
      <c r="G5" s="8">
        <f t="shared" ref="G5:G10" si="0">E5+F5</f>
        <v>8120</v>
      </c>
      <c r="H5" s="8">
        <f>H6+H7+H9+H8</f>
        <v>882.93399999999997</v>
      </c>
      <c r="I5" s="8">
        <f>I6+I7+I9+I8</f>
        <v>900</v>
      </c>
      <c r="J5" s="8">
        <f t="shared" ref="J5:J12" si="1">H5+I5</f>
        <v>1782.934</v>
      </c>
      <c r="K5" s="8">
        <f t="shared" ref="K5:K17" si="2">J5/G5*100</f>
        <v>21.957315270935958</v>
      </c>
    </row>
    <row r="6" spans="1:11" ht="48" customHeight="1">
      <c r="A6" s="36"/>
      <c r="B6" s="10" t="s">
        <v>50</v>
      </c>
      <c r="C6" s="36" t="s">
        <v>49</v>
      </c>
      <c r="D6" s="1" t="s">
        <v>12</v>
      </c>
      <c r="E6" s="9">
        <v>1405</v>
      </c>
      <c r="F6" s="9"/>
      <c r="G6" s="8">
        <f t="shared" si="0"/>
        <v>1405</v>
      </c>
      <c r="H6" s="9">
        <f>19.2+13.3+84.69</f>
        <v>117.19</v>
      </c>
      <c r="I6" s="9"/>
      <c r="J6" s="8">
        <f t="shared" si="1"/>
        <v>117.19</v>
      </c>
      <c r="K6" s="8">
        <f t="shared" si="2"/>
        <v>8.3409252669039144</v>
      </c>
    </row>
    <row r="7" spans="1:11" ht="52.5" customHeight="1">
      <c r="A7" s="36"/>
      <c r="B7" s="10" t="s">
        <v>70</v>
      </c>
      <c r="C7" s="36"/>
      <c r="D7" s="1" t="s">
        <v>15</v>
      </c>
      <c r="E7" s="9">
        <v>1000</v>
      </c>
      <c r="F7" s="9"/>
      <c r="G7" s="8">
        <f t="shared" si="0"/>
        <v>1000</v>
      </c>
      <c r="H7" s="9"/>
      <c r="I7" s="9"/>
      <c r="J7" s="8">
        <f t="shared" si="1"/>
        <v>0</v>
      </c>
      <c r="K7" s="8">
        <f t="shared" si="2"/>
        <v>0</v>
      </c>
    </row>
    <row r="8" spans="1:11" ht="54.75" customHeight="1">
      <c r="A8" s="36"/>
      <c r="B8" s="10" t="s">
        <v>158</v>
      </c>
      <c r="C8" s="1" t="s">
        <v>159</v>
      </c>
      <c r="D8" s="33" t="s">
        <v>71</v>
      </c>
      <c r="E8" s="9"/>
      <c r="F8" s="9">
        <v>2200</v>
      </c>
      <c r="G8" s="8">
        <f t="shared" si="0"/>
        <v>2200</v>
      </c>
      <c r="H8" s="9"/>
      <c r="I8" s="9">
        <f>900</f>
        <v>900</v>
      </c>
      <c r="J8" s="8">
        <f t="shared" si="1"/>
        <v>900</v>
      </c>
      <c r="K8" s="8">
        <f t="shared" si="2"/>
        <v>40.909090909090914</v>
      </c>
    </row>
    <row r="9" spans="1:11" ht="51.75" customHeight="1">
      <c r="A9" s="36"/>
      <c r="B9" s="10" t="s">
        <v>75</v>
      </c>
      <c r="C9" s="1" t="s">
        <v>51</v>
      </c>
      <c r="D9" s="34"/>
      <c r="E9" s="9">
        <v>3515</v>
      </c>
      <c r="F9" s="9"/>
      <c r="G9" s="8">
        <f t="shared" si="0"/>
        <v>3515</v>
      </c>
      <c r="H9" s="9">
        <f>200+200+76.6+72.844+200+10.2+6.1</f>
        <v>765.74400000000003</v>
      </c>
      <c r="I9" s="9"/>
      <c r="J9" s="8">
        <f t="shared" si="1"/>
        <v>765.74400000000003</v>
      </c>
      <c r="K9" s="8">
        <f>J9/G9*100</f>
        <v>21.78503556187767</v>
      </c>
    </row>
    <row r="10" spans="1:11" ht="120" customHeight="1">
      <c r="A10" s="36">
        <v>2</v>
      </c>
      <c r="B10" s="17"/>
      <c r="C10" s="21" t="s">
        <v>72</v>
      </c>
      <c r="D10" s="16" t="s">
        <v>11</v>
      </c>
      <c r="E10" s="8">
        <f>E12+E16+E15+E13+E11+E14</f>
        <v>50665</v>
      </c>
      <c r="F10" s="8">
        <f>F12+F16+F15+F13+F11+F14</f>
        <v>1500</v>
      </c>
      <c r="G10" s="8">
        <f t="shared" si="0"/>
        <v>52165</v>
      </c>
      <c r="H10" s="8">
        <f>H12+H16+H15+H13+H11+H14</f>
        <v>13055.179999999998</v>
      </c>
      <c r="I10" s="8">
        <f>I12+I16+I15+I13+I11+I14</f>
        <v>0</v>
      </c>
      <c r="J10" s="8">
        <f t="shared" si="1"/>
        <v>13055.179999999998</v>
      </c>
      <c r="K10" s="8">
        <f>J10/G10*100</f>
        <v>25.026703728553624</v>
      </c>
    </row>
    <row r="11" spans="1:11" ht="54.75" customHeight="1">
      <c r="A11" s="36"/>
      <c r="B11" s="10" t="s">
        <v>75</v>
      </c>
      <c r="C11" s="1" t="s">
        <v>76</v>
      </c>
      <c r="D11" s="33" t="s">
        <v>12</v>
      </c>
      <c r="E11" s="9">
        <v>200</v>
      </c>
      <c r="F11" s="9"/>
      <c r="G11" s="8">
        <f t="shared" ref="G11:G21" si="3">E11+F11</f>
        <v>200</v>
      </c>
      <c r="H11" s="9"/>
      <c r="I11" s="9"/>
      <c r="J11" s="8">
        <f t="shared" si="1"/>
        <v>0</v>
      </c>
      <c r="K11" s="8">
        <f t="shared" si="2"/>
        <v>0</v>
      </c>
    </row>
    <row r="12" spans="1:11" ht="54.75" customHeight="1">
      <c r="A12" s="36"/>
      <c r="B12" s="10" t="s">
        <v>73</v>
      </c>
      <c r="C12" s="1" t="s">
        <v>28</v>
      </c>
      <c r="D12" s="34"/>
      <c r="E12" s="9">
        <v>1700</v>
      </c>
      <c r="F12" s="9"/>
      <c r="G12" s="8">
        <f t="shared" si="3"/>
        <v>1700</v>
      </c>
      <c r="H12" s="9"/>
      <c r="I12" s="9"/>
      <c r="J12" s="8">
        <f t="shared" si="1"/>
        <v>0</v>
      </c>
      <c r="K12" s="8">
        <f t="shared" si="2"/>
        <v>0</v>
      </c>
    </row>
    <row r="13" spans="1:11" ht="56.25" customHeight="1">
      <c r="A13" s="36"/>
      <c r="B13" s="10" t="s">
        <v>75</v>
      </c>
      <c r="C13" s="1" t="s">
        <v>76</v>
      </c>
      <c r="D13" s="33" t="s">
        <v>71</v>
      </c>
      <c r="E13" s="9">
        <f>3540-200-1000</f>
        <v>2340</v>
      </c>
      <c r="F13" s="9"/>
      <c r="G13" s="8">
        <f t="shared" si="3"/>
        <v>2340</v>
      </c>
      <c r="H13" s="9">
        <f>3.38</f>
        <v>3.38</v>
      </c>
      <c r="I13" s="9"/>
      <c r="J13" s="8">
        <f t="shared" ref="J13:J20" si="4">H13+I13</f>
        <v>3.38</v>
      </c>
      <c r="K13" s="8">
        <f>J13/G13*100</f>
        <v>0.14444444444444443</v>
      </c>
    </row>
    <row r="14" spans="1:11" ht="57.75" customHeight="1">
      <c r="A14" s="36"/>
      <c r="B14" s="10">
        <v>2314070</v>
      </c>
      <c r="C14" s="1" t="s">
        <v>26</v>
      </c>
      <c r="D14" s="35"/>
      <c r="E14" s="9"/>
      <c r="F14" s="9">
        <v>1500</v>
      </c>
      <c r="G14" s="8">
        <f t="shared" si="3"/>
        <v>1500</v>
      </c>
      <c r="H14" s="9"/>
      <c r="I14" s="9"/>
      <c r="J14" s="8">
        <f t="shared" si="4"/>
        <v>0</v>
      </c>
      <c r="K14" s="8">
        <f>J14/G14*100</f>
        <v>0</v>
      </c>
    </row>
    <row r="15" spans="1:11" ht="60" customHeight="1">
      <c r="A15" s="36"/>
      <c r="B15" s="10">
        <v>2318410</v>
      </c>
      <c r="C15" s="1" t="s">
        <v>27</v>
      </c>
      <c r="D15" s="35"/>
      <c r="E15" s="9">
        <f>40295+200</f>
        <v>40495</v>
      </c>
      <c r="F15" s="9"/>
      <c r="G15" s="8">
        <f t="shared" si="3"/>
        <v>40495</v>
      </c>
      <c r="H15" s="9">
        <f>427+2058+45+488+2082.8+45+495.8+384.6+2426.4+45+450.8+2202.5+409.4+968.7+33.3</f>
        <v>12562.3</v>
      </c>
      <c r="I15" s="9"/>
      <c r="J15" s="8">
        <f t="shared" si="4"/>
        <v>12562.3</v>
      </c>
      <c r="K15" s="8">
        <f>J15/G15*100</f>
        <v>31.021854549944432</v>
      </c>
    </row>
    <row r="16" spans="1:11" ht="62.25" customHeight="1">
      <c r="A16" s="36"/>
      <c r="B16" s="10" t="s">
        <v>74</v>
      </c>
      <c r="C16" s="1" t="s">
        <v>28</v>
      </c>
      <c r="D16" s="34"/>
      <c r="E16" s="9">
        <f>4930+1000</f>
        <v>5930</v>
      </c>
      <c r="F16" s="9"/>
      <c r="G16" s="8">
        <f t="shared" si="3"/>
        <v>5930</v>
      </c>
      <c r="H16" s="9">
        <f>25.4+16+22+410.7+15.4</f>
        <v>489.49999999999994</v>
      </c>
      <c r="I16" s="9"/>
      <c r="J16" s="8">
        <f t="shared" si="4"/>
        <v>489.49999999999994</v>
      </c>
      <c r="K16" s="8">
        <f>J16/G16*100</f>
        <v>8.2546374367622235</v>
      </c>
    </row>
    <row r="17" spans="1:11" ht="129.75" customHeight="1">
      <c r="A17" s="33">
        <v>3</v>
      </c>
      <c r="B17" s="1"/>
      <c r="C17" s="21" t="s">
        <v>77</v>
      </c>
      <c r="D17" s="16" t="s">
        <v>11</v>
      </c>
      <c r="E17" s="8">
        <f>SUM(E18:E19)</f>
        <v>37000</v>
      </c>
      <c r="F17" s="8">
        <f>SUM(F18:F19)</f>
        <v>0</v>
      </c>
      <c r="G17" s="8">
        <f t="shared" si="3"/>
        <v>37000</v>
      </c>
      <c r="H17" s="8">
        <f>SUM(H18:H19)</f>
        <v>1622.6</v>
      </c>
      <c r="I17" s="8">
        <f>SUM(I18:I19)</f>
        <v>0</v>
      </c>
      <c r="J17" s="8">
        <f t="shared" si="4"/>
        <v>1622.6</v>
      </c>
      <c r="K17" s="18">
        <f t="shared" si="2"/>
        <v>4.3854054054054048</v>
      </c>
    </row>
    <row r="18" spans="1:11" ht="96.75" customHeight="1">
      <c r="A18" s="35"/>
      <c r="B18" s="10" t="s">
        <v>79</v>
      </c>
      <c r="C18" s="1" t="s">
        <v>80</v>
      </c>
      <c r="D18" s="35" t="s">
        <v>13</v>
      </c>
      <c r="E18" s="9">
        <v>4270</v>
      </c>
      <c r="F18" s="9"/>
      <c r="G18" s="8">
        <f t="shared" si="3"/>
        <v>4270</v>
      </c>
      <c r="H18" s="9">
        <f>470+296.6+185+248.1+189.3+140.5+93.1</f>
        <v>1622.6</v>
      </c>
      <c r="I18" s="9"/>
      <c r="J18" s="8">
        <f t="shared" si="4"/>
        <v>1622.6</v>
      </c>
      <c r="K18" s="18">
        <f>J18/G18*100</f>
        <v>38</v>
      </c>
    </row>
    <row r="19" spans="1:11" ht="73.5" customHeight="1">
      <c r="A19" s="35"/>
      <c r="B19" s="10" t="s">
        <v>78</v>
      </c>
      <c r="C19" s="12" t="s">
        <v>52</v>
      </c>
      <c r="D19" s="35"/>
      <c r="E19" s="9">
        <v>32730</v>
      </c>
      <c r="F19" s="9"/>
      <c r="G19" s="8">
        <f t="shared" si="3"/>
        <v>32730</v>
      </c>
      <c r="H19" s="9"/>
      <c r="I19" s="9"/>
      <c r="J19" s="8">
        <f t="shared" si="4"/>
        <v>0</v>
      </c>
      <c r="K19" s="18">
        <f>J19/G19*100</f>
        <v>0</v>
      </c>
    </row>
    <row r="20" spans="1:11" ht="125.25" customHeight="1">
      <c r="A20" s="33">
        <v>4</v>
      </c>
      <c r="B20" s="10"/>
      <c r="C20" s="21" t="s">
        <v>81</v>
      </c>
      <c r="D20" s="16" t="s">
        <v>11</v>
      </c>
      <c r="E20" s="13">
        <f>SUM(E21:E34)</f>
        <v>653661.80000000005</v>
      </c>
      <c r="F20" s="13">
        <f>SUM(F21:F34)</f>
        <v>61399.6</v>
      </c>
      <c r="G20" s="8">
        <f t="shared" si="3"/>
        <v>715061.4</v>
      </c>
      <c r="H20" s="13">
        <f>SUM(H21:H34)</f>
        <v>244760.90000000002</v>
      </c>
      <c r="I20" s="13">
        <f>SUM(I21:I34)</f>
        <v>2118.4</v>
      </c>
      <c r="J20" s="8">
        <f t="shared" si="4"/>
        <v>246879.30000000002</v>
      </c>
      <c r="K20" s="8">
        <f>J20/G20*100</f>
        <v>34.525608570117193</v>
      </c>
    </row>
    <row r="21" spans="1:11" ht="72" customHeight="1">
      <c r="A21" s="35"/>
      <c r="B21" s="10" t="s">
        <v>82</v>
      </c>
      <c r="C21" s="1" t="s">
        <v>83</v>
      </c>
      <c r="D21" s="33" t="s">
        <v>9</v>
      </c>
      <c r="E21" s="22">
        <f>37203.8+8653.4</f>
        <v>45857.200000000004</v>
      </c>
      <c r="F21" s="9">
        <f>700</f>
        <v>700</v>
      </c>
      <c r="G21" s="8">
        <f t="shared" si="3"/>
        <v>46557.200000000004</v>
      </c>
      <c r="H21" s="9">
        <f>1960.9+3580+31.7+4737.1+91.8+2176.8+2348.3+596.2+1317.7+4067.5</f>
        <v>20908</v>
      </c>
      <c r="I21" s="9">
        <f>700</f>
        <v>700</v>
      </c>
      <c r="J21" s="8">
        <f t="shared" ref="J21:J34" si="5">H21+I21</f>
        <v>21608</v>
      </c>
      <c r="K21" s="8">
        <f t="shared" ref="K21:K34" si="6">J21/G21*100</f>
        <v>46.411725791069905</v>
      </c>
    </row>
    <row r="22" spans="1:11" ht="71.25" customHeight="1">
      <c r="A22" s="35"/>
      <c r="B22" s="10" t="s">
        <v>84</v>
      </c>
      <c r="C22" s="1" t="s">
        <v>85</v>
      </c>
      <c r="D22" s="35"/>
      <c r="E22" s="22">
        <f>195384.1+18754.7</f>
        <v>214138.80000000002</v>
      </c>
      <c r="F22" s="9">
        <f>718.4</f>
        <v>718.4</v>
      </c>
      <c r="G22" s="8">
        <f t="shared" ref="G22:G34" si="7">E22+F22</f>
        <v>214857.2</v>
      </c>
      <c r="H22" s="9">
        <f>8194.1+19689.3+3255.6+5185.6+5495.4+2276.8+3766.7+10588.5+1829.7+264.2+881.9+12148.8+1666+4437.6+395.5+6234.8+3793.5</f>
        <v>90104</v>
      </c>
      <c r="I22" s="9">
        <f>718.4</f>
        <v>718.4</v>
      </c>
      <c r="J22" s="8">
        <f t="shared" si="5"/>
        <v>90822.399999999994</v>
      </c>
      <c r="K22" s="8">
        <f t="shared" si="6"/>
        <v>42.271052587486011</v>
      </c>
    </row>
    <row r="23" spans="1:11" ht="71.25" customHeight="1">
      <c r="A23" s="35"/>
      <c r="B23" s="10" t="s">
        <v>86</v>
      </c>
      <c r="C23" s="1" t="s">
        <v>87</v>
      </c>
      <c r="D23" s="35"/>
      <c r="E23" s="22">
        <f>10833.4+6150</f>
        <v>16983.400000000001</v>
      </c>
      <c r="F23" s="9">
        <f>700</f>
        <v>700</v>
      </c>
      <c r="G23" s="8">
        <f t="shared" si="7"/>
        <v>17683.400000000001</v>
      </c>
      <c r="H23" s="9">
        <f>749.5+1599.5+175.5+1254.5+260+854.5+594.5+1620</f>
        <v>7108</v>
      </c>
      <c r="I23" s="9">
        <f>700</f>
        <v>700</v>
      </c>
      <c r="J23" s="8">
        <f t="shared" si="5"/>
        <v>7808</v>
      </c>
      <c r="K23" s="8">
        <f t="shared" si="6"/>
        <v>44.154404695929514</v>
      </c>
    </row>
    <row r="24" spans="1:11" ht="65.25" customHeight="1">
      <c r="A24" s="35"/>
      <c r="B24" s="10" t="s">
        <v>88</v>
      </c>
      <c r="C24" s="1" t="s">
        <v>89</v>
      </c>
      <c r="D24" s="35"/>
      <c r="E24" s="22">
        <v>1818.6</v>
      </c>
      <c r="F24" s="9"/>
      <c r="G24" s="8">
        <f t="shared" si="7"/>
        <v>1818.6</v>
      </c>
      <c r="H24" s="9">
        <f>741.1+917.1</f>
        <v>1658.2</v>
      </c>
      <c r="I24" s="9"/>
      <c r="J24" s="8">
        <f t="shared" si="5"/>
        <v>1658.2</v>
      </c>
      <c r="K24" s="8">
        <f t="shared" si="6"/>
        <v>91.180028593423529</v>
      </c>
    </row>
    <row r="25" spans="1:11" ht="72.75" customHeight="1">
      <c r="A25" s="35"/>
      <c r="B25" s="10" t="s">
        <v>90</v>
      </c>
      <c r="C25" s="1" t="s">
        <v>91</v>
      </c>
      <c r="D25" s="35"/>
      <c r="E25" s="22">
        <f>47967+20</f>
        <v>47987</v>
      </c>
      <c r="F25" s="9"/>
      <c r="G25" s="8">
        <f t="shared" si="7"/>
        <v>47987</v>
      </c>
      <c r="H25" s="9">
        <f>285.9+2265.2+1258.1+1209.1+27.5+3073.5+1002.1+117.1+1190+2092.3+1094.9+129.8+1094.2+1141.8+291.8+974.9</f>
        <v>17248.199999999997</v>
      </c>
      <c r="I25" s="9"/>
      <c r="J25" s="8">
        <f t="shared" si="5"/>
        <v>17248.199999999997</v>
      </c>
      <c r="K25" s="8">
        <f t="shared" si="6"/>
        <v>35.943484693771225</v>
      </c>
    </row>
    <row r="26" spans="1:11" ht="66.75" customHeight="1">
      <c r="A26" s="35"/>
      <c r="B26" s="10" t="s">
        <v>92</v>
      </c>
      <c r="C26" s="1" t="s">
        <v>93</v>
      </c>
      <c r="D26" s="35"/>
      <c r="E26" s="22">
        <f>42400.8+357</f>
        <v>42757.8</v>
      </c>
      <c r="F26" s="9"/>
      <c r="G26" s="8">
        <f t="shared" si="7"/>
        <v>42757.8</v>
      </c>
      <c r="H26" s="9">
        <f>301.4+1392.1+100.6+3318.1+165.9+2728+500+1207+3303+15+1757+2774+22+1470.2+22.9</f>
        <v>19077.2</v>
      </c>
      <c r="I26" s="9"/>
      <c r="J26" s="8">
        <f t="shared" si="5"/>
        <v>19077.2</v>
      </c>
      <c r="K26" s="8">
        <f t="shared" si="6"/>
        <v>44.616888614475023</v>
      </c>
    </row>
    <row r="27" spans="1:11" ht="65.25" customHeight="1">
      <c r="A27" s="35"/>
      <c r="B27" s="10" t="s">
        <v>94</v>
      </c>
      <c r="C27" s="1" t="s">
        <v>95</v>
      </c>
      <c r="D27" s="35"/>
      <c r="E27" s="22">
        <f>9686.2+890</f>
        <v>10576.2</v>
      </c>
      <c r="F27" s="9"/>
      <c r="G27" s="8">
        <f t="shared" si="7"/>
        <v>10576.2</v>
      </c>
      <c r="H27" s="9">
        <f>737.8+820+1879.1+845.3+150.2+518.1</f>
        <v>4950.5</v>
      </c>
      <c r="I27" s="9"/>
      <c r="J27" s="8">
        <f t="shared" si="5"/>
        <v>4950.5</v>
      </c>
      <c r="K27" s="8">
        <f t="shared" si="6"/>
        <v>46.807927232843547</v>
      </c>
    </row>
    <row r="28" spans="1:11" ht="55.5" customHeight="1">
      <c r="A28" s="35"/>
      <c r="B28" s="10" t="s">
        <v>96</v>
      </c>
      <c r="C28" s="1" t="s">
        <v>97</v>
      </c>
      <c r="D28" s="34"/>
      <c r="E28" s="22">
        <f>12091.4+421</f>
        <v>12512.4</v>
      </c>
      <c r="F28" s="9"/>
      <c r="G28" s="8">
        <f t="shared" si="7"/>
        <v>12512.4</v>
      </c>
      <c r="H28" s="9">
        <f>692.1+200+365.4+605.2+284+170.4+580.5+165+508.4</f>
        <v>3571</v>
      </c>
      <c r="I28" s="9"/>
      <c r="J28" s="8">
        <f t="shared" si="5"/>
        <v>3571</v>
      </c>
      <c r="K28" s="8">
        <f t="shared" si="6"/>
        <v>28.53968862888015</v>
      </c>
    </row>
    <row r="29" spans="1:11" ht="57.75" customHeight="1">
      <c r="A29" s="35"/>
      <c r="B29" s="10" t="s">
        <v>98</v>
      </c>
      <c r="C29" s="1" t="s">
        <v>99</v>
      </c>
      <c r="D29" s="33" t="s">
        <v>9</v>
      </c>
      <c r="E29" s="22">
        <f>34705.3+824.9</f>
        <v>35530.200000000004</v>
      </c>
      <c r="F29" s="9"/>
      <c r="G29" s="8">
        <f t="shared" si="7"/>
        <v>35530.200000000004</v>
      </c>
      <c r="H29" s="9">
        <f>136.9+1462.6+3175.4+2444.7+1662.7+1937.1+1685.9+1780+1921.3</f>
        <v>16206.599999999999</v>
      </c>
      <c r="I29" s="9"/>
      <c r="J29" s="8">
        <f t="shared" si="5"/>
        <v>16206.599999999999</v>
      </c>
      <c r="K29" s="8">
        <f t="shared" si="6"/>
        <v>45.613590691862129</v>
      </c>
    </row>
    <row r="30" spans="1:11" ht="60.75" customHeight="1">
      <c r="A30" s="35"/>
      <c r="B30" s="10" t="s">
        <v>100</v>
      </c>
      <c r="C30" s="1" t="s">
        <v>101</v>
      </c>
      <c r="D30" s="35"/>
      <c r="E30" s="22">
        <f>122969.3+479</f>
        <v>123448.3</v>
      </c>
      <c r="F30" s="9">
        <v>677</v>
      </c>
      <c r="G30" s="8">
        <f t="shared" si="7"/>
        <v>124125.3</v>
      </c>
      <c r="H30" s="9">
        <f>2755.6+12.7+7164.3+3502.9+1974.9+5032.2+2396.7+2512.1+4037.6+1232.4+2389.8+3369.5+750.8+3757.8+6132+3016.3+214.8</f>
        <v>50252.400000000009</v>
      </c>
      <c r="I30" s="9"/>
      <c r="J30" s="8">
        <f t="shared" si="5"/>
        <v>50252.400000000009</v>
      </c>
      <c r="K30" s="8">
        <f t="shared" si="6"/>
        <v>40.485219371071011</v>
      </c>
    </row>
    <row r="31" spans="1:11" ht="54" customHeight="1">
      <c r="A31" s="35"/>
      <c r="B31" s="10" t="s">
        <v>53</v>
      </c>
      <c r="C31" s="1" t="s">
        <v>102</v>
      </c>
      <c r="D31" s="35"/>
      <c r="E31" s="22">
        <f>92251.9-995</f>
        <v>91256.9</v>
      </c>
      <c r="F31" s="9">
        <v>58604.2</v>
      </c>
      <c r="G31" s="8">
        <f t="shared" si="7"/>
        <v>149861.09999999998</v>
      </c>
      <c r="H31" s="9">
        <f>1093.3+71.7+13.9+254.6+547.1+273.1+129.5+904.2+391+806.6+649.3+201.5+1040.5</f>
        <v>6376.3</v>
      </c>
      <c r="I31" s="9"/>
      <c r="J31" s="8">
        <f t="shared" si="5"/>
        <v>6376.3</v>
      </c>
      <c r="K31" s="8">
        <f t="shared" si="6"/>
        <v>4.2548066175945598</v>
      </c>
    </row>
    <row r="32" spans="1:11" ht="81" customHeight="1">
      <c r="A32" s="35"/>
      <c r="B32" s="10" t="s">
        <v>155</v>
      </c>
      <c r="C32" s="1" t="s">
        <v>156</v>
      </c>
      <c r="D32" s="35"/>
      <c r="E32" s="22">
        <v>3500</v>
      </c>
      <c r="F32" s="9"/>
      <c r="G32" s="8">
        <f t="shared" si="7"/>
        <v>3500</v>
      </c>
      <c r="H32" s="9">
        <f>322.1+678.4</f>
        <v>1000.5</v>
      </c>
      <c r="I32" s="9"/>
      <c r="J32" s="8">
        <f t="shared" si="5"/>
        <v>1000.5</v>
      </c>
      <c r="K32" s="8">
        <f t="shared" si="6"/>
        <v>28.585714285714285</v>
      </c>
    </row>
    <row r="33" spans="1:11" ht="50.25" customHeight="1">
      <c r="A33" s="19"/>
      <c r="B33" s="10" t="s">
        <v>202</v>
      </c>
      <c r="C33" s="1" t="s">
        <v>31</v>
      </c>
      <c r="D33" s="35"/>
      <c r="E33" s="22">
        <f>995</f>
        <v>995</v>
      </c>
      <c r="F33" s="9"/>
      <c r="G33" s="8">
        <f t="shared" si="7"/>
        <v>995</v>
      </c>
      <c r="H33" s="9"/>
      <c r="I33" s="9"/>
      <c r="J33" s="8">
        <f t="shared" si="5"/>
        <v>0</v>
      </c>
      <c r="K33" s="8">
        <f t="shared" si="6"/>
        <v>0</v>
      </c>
    </row>
    <row r="34" spans="1:11" ht="134.25" customHeight="1">
      <c r="A34" s="19"/>
      <c r="B34" s="10" t="s">
        <v>203</v>
      </c>
      <c r="C34" s="1" t="s">
        <v>204</v>
      </c>
      <c r="D34" s="34"/>
      <c r="E34" s="22">
        <f>6300</f>
        <v>6300</v>
      </c>
      <c r="F34" s="9"/>
      <c r="G34" s="8">
        <f t="shared" si="7"/>
        <v>6300</v>
      </c>
      <c r="H34" s="9">
        <v>6300</v>
      </c>
      <c r="I34" s="9"/>
      <c r="J34" s="8">
        <f t="shared" si="5"/>
        <v>6300</v>
      </c>
      <c r="K34" s="8">
        <f t="shared" si="6"/>
        <v>100</v>
      </c>
    </row>
    <row r="35" spans="1:11" ht="129.75" customHeight="1">
      <c r="A35" s="36">
        <v>5</v>
      </c>
      <c r="B35" s="10"/>
      <c r="C35" s="21" t="s">
        <v>103</v>
      </c>
      <c r="D35" s="16" t="s">
        <v>11</v>
      </c>
      <c r="E35" s="8">
        <f>SUM(E36:E38)</f>
        <v>54506</v>
      </c>
      <c r="F35" s="8">
        <f>SUM(F36:F38)</f>
        <v>0</v>
      </c>
      <c r="G35" s="8">
        <f t="shared" ref="G35:G42" si="8">E35+F35</f>
        <v>54506</v>
      </c>
      <c r="H35" s="8">
        <f>SUM(H36:H38)</f>
        <v>3397.7359999999999</v>
      </c>
      <c r="I35" s="8">
        <f>SUM(I36:I38)</f>
        <v>0</v>
      </c>
      <c r="J35" s="8">
        <f t="shared" ref="J35:J41" si="9">H35+I35</f>
        <v>3397.7359999999999</v>
      </c>
      <c r="K35" s="8">
        <f t="shared" ref="K35:K47" si="10">J35/G35*100</f>
        <v>6.2336917036656514</v>
      </c>
    </row>
    <row r="36" spans="1:11" ht="80.25" customHeight="1">
      <c r="A36" s="36"/>
      <c r="B36" s="10" t="s">
        <v>38</v>
      </c>
      <c r="C36" s="1" t="s">
        <v>29</v>
      </c>
      <c r="D36" s="36" t="s">
        <v>187</v>
      </c>
      <c r="E36" s="9">
        <v>700</v>
      </c>
      <c r="F36" s="9"/>
      <c r="G36" s="8">
        <f t="shared" si="8"/>
        <v>700</v>
      </c>
      <c r="H36" s="9"/>
      <c r="I36" s="9"/>
      <c r="J36" s="8">
        <f t="shared" si="9"/>
        <v>0</v>
      </c>
      <c r="K36" s="8">
        <f t="shared" si="10"/>
        <v>0</v>
      </c>
    </row>
    <row r="37" spans="1:11" ht="60.75" customHeight="1">
      <c r="A37" s="36"/>
      <c r="B37" s="10" t="s">
        <v>40</v>
      </c>
      <c r="C37" s="1" t="s">
        <v>30</v>
      </c>
      <c r="D37" s="36"/>
      <c r="E37" s="9">
        <v>50157.5</v>
      </c>
      <c r="F37" s="9"/>
      <c r="G37" s="8">
        <f t="shared" si="8"/>
        <v>50157.5</v>
      </c>
      <c r="H37" s="9">
        <f>3.6+478.9+77.7+3.6+19.3+61.1+141+3.636+266.3+1072.9+540+3.6+726.1</f>
        <v>3397.7359999999999</v>
      </c>
      <c r="I37" s="9"/>
      <c r="J37" s="8">
        <f t="shared" si="9"/>
        <v>3397.7359999999999</v>
      </c>
      <c r="K37" s="8">
        <f t="shared" si="10"/>
        <v>6.7741334795394499</v>
      </c>
    </row>
    <row r="38" spans="1:11" ht="52.5" customHeight="1">
      <c r="A38" s="36"/>
      <c r="B38" s="10" t="s">
        <v>39</v>
      </c>
      <c r="C38" s="1" t="s">
        <v>31</v>
      </c>
      <c r="D38" s="36"/>
      <c r="E38" s="9">
        <v>3648.5</v>
      </c>
      <c r="F38" s="9"/>
      <c r="G38" s="8">
        <f t="shared" si="8"/>
        <v>3648.5</v>
      </c>
      <c r="H38" s="9"/>
      <c r="I38" s="9"/>
      <c r="J38" s="8">
        <f t="shared" si="9"/>
        <v>0</v>
      </c>
      <c r="K38" s="8">
        <f t="shared" si="10"/>
        <v>0</v>
      </c>
    </row>
    <row r="39" spans="1:11" ht="159.75" customHeight="1">
      <c r="A39" s="36">
        <v>6</v>
      </c>
      <c r="B39" s="10"/>
      <c r="C39" s="21" t="s">
        <v>146</v>
      </c>
      <c r="D39" s="16" t="s">
        <v>11</v>
      </c>
      <c r="E39" s="8">
        <f>SUM(E40:E42)</f>
        <v>41677</v>
      </c>
      <c r="F39" s="8">
        <f>SUM(F40:F42)</f>
        <v>500</v>
      </c>
      <c r="G39" s="8">
        <f t="shared" si="8"/>
        <v>42177</v>
      </c>
      <c r="H39" s="8">
        <f>SUM(H40:H42)</f>
        <v>8293.7000000000007</v>
      </c>
      <c r="I39" s="8">
        <f>SUM(I40:I42)</f>
        <v>0</v>
      </c>
      <c r="J39" s="8">
        <f t="shared" si="9"/>
        <v>8293.7000000000007</v>
      </c>
      <c r="K39" s="8">
        <f t="shared" si="10"/>
        <v>19.664034900538212</v>
      </c>
    </row>
    <row r="40" spans="1:11" ht="77.25" customHeight="1">
      <c r="A40" s="36"/>
      <c r="B40" s="10" t="s">
        <v>40</v>
      </c>
      <c r="C40" s="1" t="s">
        <v>30</v>
      </c>
      <c r="D40" s="36" t="s">
        <v>1</v>
      </c>
      <c r="E40" s="9">
        <f>28397.85+1200</f>
        <v>29597.85</v>
      </c>
      <c r="F40" s="9"/>
      <c r="G40" s="8">
        <f t="shared" si="8"/>
        <v>29597.85</v>
      </c>
      <c r="H40" s="9">
        <f>2091.5+518+430.8+1981.5+75.9+391.2+407.6+116.2+1208.9+479.6+503.2</f>
        <v>8204.4000000000015</v>
      </c>
      <c r="I40" s="9"/>
      <c r="J40" s="8">
        <f t="shared" si="9"/>
        <v>8204.4000000000015</v>
      </c>
      <c r="K40" s="8">
        <f t="shared" si="10"/>
        <v>27.719580983078167</v>
      </c>
    </row>
    <row r="41" spans="1:11" ht="64.5" customHeight="1">
      <c r="A41" s="36"/>
      <c r="B41" s="10" t="s">
        <v>39</v>
      </c>
      <c r="C41" s="1" t="s">
        <v>54</v>
      </c>
      <c r="D41" s="36"/>
      <c r="E41" s="9">
        <v>12079.15</v>
      </c>
      <c r="F41" s="9"/>
      <c r="G41" s="8">
        <f t="shared" si="8"/>
        <v>12079.15</v>
      </c>
      <c r="H41" s="9">
        <f>65.2+9.1+5.4+22-18.6+6.2</f>
        <v>89.3</v>
      </c>
      <c r="I41" s="9"/>
      <c r="J41" s="8">
        <f t="shared" si="9"/>
        <v>89.3</v>
      </c>
      <c r="K41" s="8">
        <f t="shared" si="10"/>
        <v>0.739290430204112</v>
      </c>
    </row>
    <row r="42" spans="1:11" ht="63.75" customHeight="1">
      <c r="A42" s="12"/>
      <c r="B42" s="10" t="s">
        <v>160</v>
      </c>
      <c r="C42" s="1" t="s">
        <v>161</v>
      </c>
      <c r="D42" s="1" t="s">
        <v>164</v>
      </c>
      <c r="E42" s="9"/>
      <c r="F42" s="9">
        <v>500</v>
      </c>
      <c r="G42" s="8">
        <f t="shared" si="8"/>
        <v>500</v>
      </c>
      <c r="H42" s="9"/>
      <c r="I42" s="9"/>
      <c r="J42" s="8">
        <f>H42+I42</f>
        <v>0</v>
      </c>
      <c r="K42" s="8">
        <f t="shared" si="10"/>
        <v>0</v>
      </c>
    </row>
    <row r="43" spans="1:11" ht="146.25" customHeight="1">
      <c r="A43" s="33">
        <v>7</v>
      </c>
      <c r="B43" s="10"/>
      <c r="C43" s="21" t="s">
        <v>104</v>
      </c>
      <c r="D43" s="16" t="s">
        <v>11</v>
      </c>
      <c r="E43" s="8">
        <f>SUM(E44)</f>
        <v>0</v>
      </c>
      <c r="F43" s="8">
        <f>SUM(F44)</f>
        <v>9000</v>
      </c>
      <c r="G43" s="8">
        <f>SUM(E43+F43)</f>
        <v>9000</v>
      </c>
      <c r="H43" s="8">
        <f>SUM(H44)</f>
        <v>0</v>
      </c>
      <c r="I43" s="8">
        <f>SUM(I44)</f>
        <v>0</v>
      </c>
      <c r="J43" s="8">
        <f>SUM(H43+I43)</f>
        <v>0</v>
      </c>
      <c r="K43" s="8">
        <f t="shared" si="10"/>
        <v>0</v>
      </c>
    </row>
    <row r="44" spans="1:11" ht="66.75" customHeight="1">
      <c r="A44" s="34"/>
      <c r="B44" s="10" t="s">
        <v>55</v>
      </c>
      <c r="C44" s="1" t="s">
        <v>31</v>
      </c>
      <c r="D44" s="1" t="s">
        <v>10</v>
      </c>
      <c r="E44" s="9"/>
      <c r="F44" s="9">
        <v>9000</v>
      </c>
      <c r="G44" s="8">
        <f>SUM(E44+F44)</f>
        <v>9000</v>
      </c>
      <c r="H44" s="9"/>
      <c r="I44" s="9"/>
      <c r="J44" s="8">
        <f>SUM(H44+I44)</f>
        <v>0</v>
      </c>
      <c r="K44" s="8">
        <f t="shared" si="10"/>
        <v>0</v>
      </c>
    </row>
    <row r="45" spans="1:11" ht="116.25" customHeight="1">
      <c r="A45" s="36">
        <v>8</v>
      </c>
      <c r="B45" s="10"/>
      <c r="C45" s="21" t="s">
        <v>105</v>
      </c>
      <c r="D45" s="16" t="s">
        <v>11</v>
      </c>
      <c r="E45" s="8">
        <f>SUM(E46:E46)</f>
        <v>11980</v>
      </c>
      <c r="F45" s="8">
        <f>SUM(F46:F46)</f>
        <v>6020</v>
      </c>
      <c r="G45" s="8">
        <f>E45+F45</f>
        <v>18000</v>
      </c>
      <c r="H45" s="8">
        <f>SUM(H46:H46)</f>
        <v>0</v>
      </c>
      <c r="I45" s="8">
        <f>SUM(I46:I46)</f>
        <v>0</v>
      </c>
      <c r="J45" s="8">
        <f>H45+I45</f>
        <v>0</v>
      </c>
      <c r="K45" s="8">
        <f t="shared" si="10"/>
        <v>0</v>
      </c>
    </row>
    <row r="46" spans="1:11" ht="85.5" customHeight="1">
      <c r="A46" s="36"/>
      <c r="B46" s="10" t="s">
        <v>41</v>
      </c>
      <c r="C46" s="1" t="s">
        <v>47</v>
      </c>
      <c r="D46" s="1" t="s">
        <v>16</v>
      </c>
      <c r="E46" s="9">
        <v>11980</v>
      </c>
      <c r="F46" s="9">
        <v>6020</v>
      </c>
      <c r="G46" s="8">
        <f>E46+F46</f>
        <v>18000</v>
      </c>
      <c r="H46" s="9"/>
      <c r="I46" s="9"/>
      <c r="J46" s="8">
        <f>H46+I46</f>
        <v>0</v>
      </c>
      <c r="K46" s="8">
        <f t="shared" si="10"/>
        <v>0</v>
      </c>
    </row>
    <row r="47" spans="1:11" ht="125.25" customHeight="1">
      <c r="A47" s="33">
        <v>9</v>
      </c>
      <c r="B47" s="10"/>
      <c r="C47" s="21" t="s">
        <v>106</v>
      </c>
      <c r="D47" s="16" t="s">
        <v>11</v>
      </c>
      <c r="E47" s="8">
        <f>SUM(E48:E54)</f>
        <v>13735.8</v>
      </c>
      <c r="F47" s="8">
        <f>SUM(F48:F54)</f>
        <v>38500</v>
      </c>
      <c r="G47" s="8">
        <f>E47+F47</f>
        <v>52235.8</v>
      </c>
      <c r="H47" s="8">
        <f>SUM(H48:H54)</f>
        <v>535</v>
      </c>
      <c r="I47" s="8">
        <f>SUM(I48:I54)</f>
        <v>0</v>
      </c>
      <c r="J47" s="8">
        <f t="shared" ref="J47:J54" si="11">H47+I47</f>
        <v>535</v>
      </c>
      <c r="K47" s="8">
        <f t="shared" si="10"/>
        <v>1.0242017926402964</v>
      </c>
    </row>
    <row r="48" spans="1:11" ht="77.25" customHeight="1">
      <c r="A48" s="35"/>
      <c r="B48" s="10" t="s">
        <v>107</v>
      </c>
      <c r="C48" s="1" t="s">
        <v>108</v>
      </c>
      <c r="D48" s="33" t="s">
        <v>109</v>
      </c>
      <c r="E48" s="9">
        <v>1600</v>
      </c>
      <c r="F48" s="9">
        <v>1500</v>
      </c>
      <c r="G48" s="8">
        <f t="shared" ref="G48:G54" si="12">E48+F48</f>
        <v>3100</v>
      </c>
      <c r="H48" s="9">
        <f>26.2+40</f>
        <v>66.2</v>
      </c>
      <c r="I48" s="9"/>
      <c r="J48" s="8">
        <f t="shared" si="11"/>
        <v>66.2</v>
      </c>
      <c r="K48" s="8">
        <f t="shared" ref="K48:K54" si="13">J48/G48*100</f>
        <v>2.1354838709677422</v>
      </c>
    </row>
    <row r="49" spans="1:11" ht="93.75" customHeight="1">
      <c r="A49" s="35"/>
      <c r="B49" s="10" t="s">
        <v>110</v>
      </c>
      <c r="C49" s="1" t="s">
        <v>111</v>
      </c>
      <c r="D49" s="35"/>
      <c r="E49" s="9">
        <v>1300</v>
      </c>
      <c r="F49" s="9">
        <v>1000</v>
      </c>
      <c r="G49" s="8">
        <f t="shared" si="12"/>
        <v>2300</v>
      </c>
      <c r="H49" s="9"/>
      <c r="I49" s="9"/>
      <c r="J49" s="8">
        <f t="shared" si="11"/>
        <v>0</v>
      </c>
      <c r="K49" s="8">
        <f t="shared" si="13"/>
        <v>0</v>
      </c>
    </row>
    <row r="50" spans="1:11" ht="83.25" customHeight="1">
      <c r="A50" s="35"/>
      <c r="B50" s="10" t="s">
        <v>112</v>
      </c>
      <c r="C50" s="1" t="s">
        <v>113</v>
      </c>
      <c r="D50" s="35"/>
      <c r="E50" s="9">
        <v>204.8</v>
      </c>
      <c r="F50" s="9"/>
      <c r="G50" s="8">
        <f t="shared" si="12"/>
        <v>204.8</v>
      </c>
      <c r="H50" s="9">
        <f>7.2+21.6</f>
        <v>28.8</v>
      </c>
      <c r="I50" s="9"/>
      <c r="J50" s="8">
        <f t="shared" si="11"/>
        <v>28.8</v>
      </c>
      <c r="K50" s="8">
        <f t="shared" si="13"/>
        <v>14.0625</v>
      </c>
    </row>
    <row r="51" spans="1:11" ht="108.75" customHeight="1">
      <c r="A51" s="35"/>
      <c r="B51" s="10" t="s">
        <v>42</v>
      </c>
      <c r="C51" s="1" t="s">
        <v>114</v>
      </c>
      <c r="D51" s="34"/>
      <c r="E51" s="9">
        <v>474</v>
      </c>
      <c r="F51" s="9"/>
      <c r="G51" s="8">
        <f t="shared" si="12"/>
        <v>474</v>
      </c>
      <c r="H51" s="9">
        <f>8.1+22.4</f>
        <v>30.5</v>
      </c>
      <c r="I51" s="9"/>
      <c r="J51" s="8">
        <f t="shared" si="11"/>
        <v>30.5</v>
      </c>
      <c r="K51" s="8">
        <f>J51/G51*100</f>
        <v>6.4345991561181437</v>
      </c>
    </row>
    <row r="52" spans="1:11" ht="66" customHeight="1">
      <c r="A52" s="35"/>
      <c r="B52" s="10" t="s">
        <v>115</v>
      </c>
      <c r="C52" s="1" t="s">
        <v>116</v>
      </c>
      <c r="D52" s="33" t="s">
        <v>109</v>
      </c>
      <c r="E52" s="9">
        <v>357</v>
      </c>
      <c r="F52" s="9"/>
      <c r="G52" s="8">
        <f t="shared" si="12"/>
        <v>357</v>
      </c>
      <c r="H52" s="9"/>
      <c r="I52" s="9"/>
      <c r="J52" s="8">
        <f t="shared" si="11"/>
        <v>0</v>
      </c>
      <c r="K52" s="8">
        <f t="shared" si="13"/>
        <v>0</v>
      </c>
    </row>
    <row r="53" spans="1:11" ht="62.25" customHeight="1">
      <c r="A53" s="35"/>
      <c r="B53" s="10" t="s">
        <v>57</v>
      </c>
      <c r="C53" s="1" t="s">
        <v>56</v>
      </c>
      <c r="D53" s="35"/>
      <c r="E53" s="9"/>
      <c r="F53" s="9">
        <v>36000</v>
      </c>
      <c r="G53" s="8">
        <f t="shared" si="12"/>
        <v>36000</v>
      </c>
      <c r="H53" s="9"/>
      <c r="I53" s="9"/>
      <c r="J53" s="8">
        <f t="shared" si="11"/>
        <v>0</v>
      </c>
      <c r="K53" s="8">
        <f t="shared" si="13"/>
        <v>0</v>
      </c>
    </row>
    <row r="54" spans="1:11" ht="78.75" customHeight="1">
      <c r="A54" s="34"/>
      <c r="B54" s="10" t="s">
        <v>43</v>
      </c>
      <c r="C54" s="1" t="s">
        <v>32</v>
      </c>
      <c r="D54" s="34"/>
      <c r="E54" s="9">
        <v>9800</v>
      </c>
      <c r="F54" s="9"/>
      <c r="G54" s="8">
        <f t="shared" si="12"/>
        <v>9800</v>
      </c>
      <c r="H54" s="9">
        <f>409.5</f>
        <v>409.5</v>
      </c>
      <c r="I54" s="9"/>
      <c r="J54" s="8">
        <f t="shared" si="11"/>
        <v>409.5</v>
      </c>
      <c r="K54" s="8">
        <f t="shared" si="13"/>
        <v>4.1785714285714288</v>
      </c>
    </row>
    <row r="55" spans="1:11" ht="122.25" customHeight="1">
      <c r="A55" s="33">
        <v>10</v>
      </c>
      <c r="B55" s="1"/>
      <c r="C55" s="23" t="s">
        <v>117</v>
      </c>
      <c r="D55" s="16" t="s">
        <v>11</v>
      </c>
      <c r="E55" s="8">
        <f>SUM(E56)</f>
        <v>2300</v>
      </c>
      <c r="F55" s="8">
        <f>SUM(F56)</f>
        <v>0</v>
      </c>
      <c r="G55" s="8">
        <f t="shared" ref="G55:G63" si="14">E55+F55</f>
        <v>2300</v>
      </c>
      <c r="H55" s="8">
        <f>SUM(H56)</f>
        <v>297.40000000000003</v>
      </c>
      <c r="I55" s="8">
        <f>SUM(I56)</f>
        <v>0</v>
      </c>
      <c r="J55" s="8">
        <f t="shared" ref="J55:J70" si="15">H55+I55</f>
        <v>297.40000000000003</v>
      </c>
      <c r="K55" s="8">
        <f t="shared" ref="K55:K60" si="16">J55/G55*100</f>
        <v>12.930434782608696</v>
      </c>
    </row>
    <row r="56" spans="1:11" ht="71.25" customHeight="1">
      <c r="A56" s="35"/>
      <c r="B56" s="10" t="s">
        <v>118</v>
      </c>
      <c r="C56" s="1" t="s">
        <v>119</v>
      </c>
      <c r="D56" s="12" t="s">
        <v>109</v>
      </c>
      <c r="E56" s="9">
        <v>2300</v>
      </c>
      <c r="F56" s="9"/>
      <c r="G56" s="8">
        <f t="shared" si="14"/>
        <v>2300</v>
      </c>
      <c r="H56" s="9">
        <f>32.6+18.3+67.7+19.5+65.5+19.5+51.7+22.6</f>
        <v>297.40000000000003</v>
      </c>
      <c r="I56" s="9"/>
      <c r="J56" s="8">
        <f t="shared" si="15"/>
        <v>297.40000000000003</v>
      </c>
      <c r="K56" s="8">
        <f t="shared" si="16"/>
        <v>12.930434782608696</v>
      </c>
    </row>
    <row r="57" spans="1:11" ht="87.75" customHeight="1">
      <c r="A57" s="33">
        <v>11</v>
      </c>
      <c r="B57" s="10"/>
      <c r="C57" s="24" t="s">
        <v>139</v>
      </c>
      <c r="D57" s="16" t="s">
        <v>11</v>
      </c>
      <c r="E57" s="8">
        <f>SUM(E58)</f>
        <v>0</v>
      </c>
      <c r="F57" s="8">
        <f>SUM(F58)</f>
        <v>100</v>
      </c>
      <c r="G57" s="8">
        <f t="shared" si="14"/>
        <v>100</v>
      </c>
      <c r="H57" s="8">
        <f>SUM(H58)</f>
        <v>0</v>
      </c>
      <c r="I57" s="8">
        <f>SUM(I58)</f>
        <v>0</v>
      </c>
      <c r="J57" s="8">
        <f t="shared" si="15"/>
        <v>0</v>
      </c>
      <c r="K57" s="8">
        <f t="shared" si="16"/>
        <v>0</v>
      </c>
    </row>
    <row r="58" spans="1:11" ht="55.5" customHeight="1">
      <c r="A58" s="34"/>
      <c r="B58" s="25" t="s">
        <v>140</v>
      </c>
      <c r="C58" s="26" t="s">
        <v>141</v>
      </c>
      <c r="D58" s="1" t="s">
        <v>9</v>
      </c>
      <c r="E58" s="9"/>
      <c r="F58" s="9">
        <v>100</v>
      </c>
      <c r="G58" s="8">
        <f t="shared" si="14"/>
        <v>100</v>
      </c>
      <c r="H58" s="9"/>
      <c r="I58" s="9"/>
      <c r="J58" s="8">
        <f>H58+I58</f>
        <v>0</v>
      </c>
      <c r="K58" s="8">
        <f t="shared" si="16"/>
        <v>0</v>
      </c>
    </row>
    <row r="59" spans="1:11" ht="107.25" customHeight="1">
      <c r="A59" s="33">
        <v>12</v>
      </c>
      <c r="B59" s="10"/>
      <c r="C59" s="21" t="s">
        <v>135</v>
      </c>
      <c r="D59" s="16" t="s">
        <v>11</v>
      </c>
      <c r="E59" s="8">
        <f>SUM(E60:E60)</f>
        <v>9550</v>
      </c>
      <c r="F59" s="8">
        <f>SUM(F60:F60)</f>
        <v>11734</v>
      </c>
      <c r="G59" s="8">
        <f t="shared" si="14"/>
        <v>21284</v>
      </c>
      <c r="H59" s="8">
        <f>SUM(H60:H60)</f>
        <v>2170.5</v>
      </c>
      <c r="I59" s="8">
        <f>SUM(I60:I60)</f>
        <v>195</v>
      </c>
      <c r="J59" s="8">
        <f>H59+I59</f>
        <v>2365.5</v>
      </c>
      <c r="K59" s="8">
        <f>J59/G59*100</f>
        <v>11.113982334147716</v>
      </c>
    </row>
    <row r="60" spans="1:11" ht="109.5" customHeight="1">
      <c r="A60" s="35"/>
      <c r="B60" s="10" t="s">
        <v>44</v>
      </c>
      <c r="C60" s="1" t="s">
        <v>58</v>
      </c>
      <c r="D60" s="12" t="s">
        <v>188</v>
      </c>
      <c r="E60" s="9">
        <f>12800-3250</f>
        <v>9550</v>
      </c>
      <c r="F60" s="9">
        <f>32200-20416-50</f>
        <v>11734</v>
      </c>
      <c r="G60" s="8">
        <f t="shared" si="14"/>
        <v>21284</v>
      </c>
      <c r="H60" s="9">
        <f>121.2+771.7+407.2+390.1+54.1+326+100.2</f>
        <v>2170.5</v>
      </c>
      <c r="I60" s="9">
        <f>195</f>
        <v>195</v>
      </c>
      <c r="J60" s="8">
        <f>H60+I60</f>
        <v>2365.5</v>
      </c>
      <c r="K60" s="8">
        <f t="shared" si="16"/>
        <v>11.113982334147716</v>
      </c>
    </row>
    <row r="61" spans="1:11" ht="74.25" customHeight="1">
      <c r="A61" s="33">
        <v>13</v>
      </c>
      <c r="B61" s="10"/>
      <c r="C61" s="21" t="s">
        <v>134</v>
      </c>
      <c r="D61" s="16" t="s">
        <v>11</v>
      </c>
      <c r="E61" s="8">
        <f>SUM(E62:E63)</f>
        <v>1000</v>
      </c>
      <c r="F61" s="8">
        <f>SUM(F62:F63)</f>
        <v>21000</v>
      </c>
      <c r="G61" s="8">
        <f t="shared" si="14"/>
        <v>22000</v>
      </c>
      <c r="H61" s="8">
        <f>SUM(H62:H63)</f>
        <v>0</v>
      </c>
      <c r="I61" s="8">
        <f>SUM(I62:I63)</f>
        <v>0</v>
      </c>
      <c r="J61" s="8">
        <f>H61+I61</f>
        <v>0</v>
      </c>
      <c r="K61" s="8">
        <f t="shared" ref="K61:K67" si="17">J61/G61*100</f>
        <v>0</v>
      </c>
    </row>
    <row r="62" spans="1:11" ht="55.5" customHeight="1">
      <c r="A62" s="35"/>
      <c r="B62" s="10">
        <v>1617340</v>
      </c>
      <c r="C62" s="12" t="s">
        <v>33</v>
      </c>
      <c r="D62" s="33" t="s">
        <v>17</v>
      </c>
      <c r="E62" s="9">
        <v>450</v>
      </c>
      <c r="F62" s="9">
        <v>21000</v>
      </c>
      <c r="G62" s="8">
        <f t="shared" si="14"/>
        <v>21450</v>
      </c>
      <c r="H62" s="9"/>
      <c r="I62" s="9"/>
      <c r="J62" s="8">
        <f t="shared" si="15"/>
        <v>0</v>
      </c>
      <c r="K62" s="8">
        <f t="shared" si="17"/>
        <v>0</v>
      </c>
    </row>
    <row r="63" spans="1:11" ht="55.5" customHeight="1">
      <c r="A63" s="35"/>
      <c r="B63" s="27" t="s">
        <v>150</v>
      </c>
      <c r="C63" s="1" t="s">
        <v>157</v>
      </c>
      <c r="D63" s="34"/>
      <c r="E63" s="9">
        <v>550</v>
      </c>
      <c r="F63" s="9"/>
      <c r="G63" s="8">
        <f t="shared" si="14"/>
        <v>550</v>
      </c>
      <c r="H63" s="9"/>
      <c r="I63" s="9"/>
      <c r="J63" s="8">
        <f t="shared" si="15"/>
        <v>0</v>
      </c>
      <c r="K63" s="8">
        <f t="shared" si="17"/>
        <v>0</v>
      </c>
    </row>
    <row r="64" spans="1:11" ht="114.75" customHeight="1">
      <c r="A64" s="33">
        <v>14</v>
      </c>
      <c r="B64" s="1"/>
      <c r="C64" s="28" t="s">
        <v>136</v>
      </c>
      <c r="D64" s="16" t="s">
        <v>11</v>
      </c>
      <c r="E64" s="8">
        <f>SUM(E65+E66+E67)</f>
        <v>1240</v>
      </c>
      <c r="F64" s="8">
        <f>SUM(F65+F66+F67)</f>
        <v>4760</v>
      </c>
      <c r="G64" s="8">
        <f>SUM(E64+F64)</f>
        <v>6000</v>
      </c>
      <c r="H64" s="8">
        <f>SUM(H65+H66+H67)</f>
        <v>0</v>
      </c>
      <c r="I64" s="8">
        <f>SUM(I65+I66+I67)</f>
        <v>0</v>
      </c>
      <c r="J64" s="8">
        <f t="shared" si="15"/>
        <v>0</v>
      </c>
      <c r="K64" s="8">
        <f t="shared" si="17"/>
        <v>0</v>
      </c>
    </row>
    <row r="65" spans="1:11" ht="59.25" customHeight="1">
      <c r="A65" s="35"/>
      <c r="B65" s="10" t="s">
        <v>59</v>
      </c>
      <c r="C65" s="29" t="s">
        <v>34</v>
      </c>
      <c r="D65" s="45" t="s">
        <v>17</v>
      </c>
      <c r="E65" s="9"/>
      <c r="F65" s="9">
        <v>3760</v>
      </c>
      <c r="G65" s="8">
        <f t="shared" ref="G65:G72" si="18">E65+F65</f>
        <v>3760</v>
      </c>
      <c r="H65" s="9"/>
      <c r="I65" s="9"/>
      <c r="J65" s="8">
        <f t="shared" si="15"/>
        <v>0</v>
      </c>
      <c r="K65" s="8">
        <f t="shared" si="17"/>
        <v>0</v>
      </c>
    </row>
    <row r="66" spans="1:11" ht="51.75" customHeight="1">
      <c r="A66" s="35"/>
      <c r="B66" s="25" t="s">
        <v>137</v>
      </c>
      <c r="C66" s="30" t="s">
        <v>138</v>
      </c>
      <c r="D66" s="46"/>
      <c r="E66" s="9">
        <v>1240</v>
      </c>
      <c r="F66" s="9"/>
      <c r="G66" s="8">
        <f t="shared" si="18"/>
        <v>1240</v>
      </c>
      <c r="H66" s="9"/>
      <c r="I66" s="9"/>
      <c r="J66" s="8">
        <f t="shared" si="15"/>
        <v>0</v>
      </c>
      <c r="K66" s="8">
        <f>J66/G66*100</f>
        <v>0</v>
      </c>
    </row>
    <row r="67" spans="1:11" ht="40.5" customHeight="1">
      <c r="A67" s="34"/>
      <c r="B67" s="10">
        <v>1619770</v>
      </c>
      <c r="C67" s="30" t="s">
        <v>31</v>
      </c>
      <c r="D67" s="47"/>
      <c r="E67" s="9"/>
      <c r="F67" s="9">
        <v>1000</v>
      </c>
      <c r="G67" s="8">
        <f t="shared" si="18"/>
        <v>1000</v>
      </c>
      <c r="H67" s="9"/>
      <c r="I67" s="9"/>
      <c r="J67" s="8">
        <f t="shared" si="15"/>
        <v>0</v>
      </c>
      <c r="K67" s="8">
        <f t="shared" si="17"/>
        <v>0</v>
      </c>
    </row>
    <row r="68" spans="1:11" ht="96.75" customHeight="1">
      <c r="A68" s="33">
        <v>15</v>
      </c>
      <c r="B68" s="10"/>
      <c r="C68" s="21" t="s">
        <v>133</v>
      </c>
      <c r="D68" s="16" t="s">
        <v>11</v>
      </c>
      <c r="E68" s="8">
        <f>E69+E70</f>
        <v>2000</v>
      </c>
      <c r="F68" s="8">
        <f>F69+F70</f>
        <v>1215</v>
      </c>
      <c r="G68" s="8">
        <f t="shared" si="18"/>
        <v>3215</v>
      </c>
      <c r="H68" s="8">
        <f>H69+H70</f>
        <v>100</v>
      </c>
      <c r="I68" s="8">
        <f>I69+I70</f>
        <v>411.5</v>
      </c>
      <c r="J68" s="8">
        <f t="shared" si="15"/>
        <v>511.5</v>
      </c>
      <c r="K68" s="8">
        <f t="shared" ref="K68:K73" si="19">J68/G68*100</f>
        <v>15.909797822706064</v>
      </c>
    </row>
    <row r="69" spans="1:11" ht="78.75" customHeight="1">
      <c r="A69" s="35"/>
      <c r="B69" s="10">
        <v>1618821</v>
      </c>
      <c r="C69" s="1" t="s">
        <v>60</v>
      </c>
      <c r="D69" s="36" t="s">
        <v>17</v>
      </c>
      <c r="E69" s="9">
        <v>1000</v>
      </c>
      <c r="F69" s="9">
        <v>215</v>
      </c>
      <c r="G69" s="8">
        <f t="shared" si="18"/>
        <v>1215</v>
      </c>
      <c r="H69" s="9"/>
      <c r="I69" s="9">
        <f>69.8+16.9+14.6+10.2</f>
        <v>111.49999999999999</v>
      </c>
      <c r="J69" s="8">
        <f t="shared" si="15"/>
        <v>111.49999999999999</v>
      </c>
      <c r="K69" s="8">
        <f t="shared" si="19"/>
        <v>9.1769547325102874</v>
      </c>
    </row>
    <row r="70" spans="1:11" ht="63" customHeight="1">
      <c r="A70" s="34"/>
      <c r="B70" s="10">
        <v>1618831</v>
      </c>
      <c r="C70" s="1" t="s">
        <v>61</v>
      </c>
      <c r="D70" s="36"/>
      <c r="E70" s="9">
        <v>1000</v>
      </c>
      <c r="F70" s="9">
        <v>1000</v>
      </c>
      <c r="G70" s="8">
        <f t="shared" si="18"/>
        <v>2000</v>
      </c>
      <c r="H70" s="9">
        <v>100</v>
      </c>
      <c r="I70" s="9">
        <f>132.2+67.8+100</f>
        <v>300</v>
      </c>
      <c r="J70" s="8">
        <f t="shared" si="15"/>
        <v>400</v>
      </c>
      <c r="K70" s="8">
        <f t="shared" si="19"/>
        <v>20</v>
      </c>
    </row>
    <row r="71" spans="1:11" ht="96.75" customHeight="1">
      <c r="A71" s="33">
        <v>16</v>
      </c>
      <c r="B71" s="10"/>
      <c r="C71" s="21" t="s">
        <v>132</v>
      </c>
      <c r="D71" s="16" t="s">
        <v>11</v>
      </c>
      <c r="E71" s="8">
        <f>SUM(E72:E72)+E73</f>
        <v>175420.79999999999</v>
      </c>
      <c r="F71" s="8">
        <f>SUM(F72:F72)+F73</f>
        <v>14652.5</v>
      </c>
      <c r="G71" s="8">
        <f>E71+F71</f>
        <v>190073.3</v>
      </c>
      <c r="H71" s="8">
        <f>SUM(H72:H72)+H73</f>
        <v>0</v>
      </c>
      <c r="I71" s="8">
        <f>SUM(I72:I72)+I73</f>
        <v>0</v>
      </c>
      <c r="J71" s="8">
        <f>H71+I71</f>
        <v>0</v>
      </c>
      <c r="K71" s="8">
        <f t="shared" si="19"/>
        <v>0</v>
      </c>
    </row>
    <row r="72" spans="1:11" ht="64.5" customHeight="1">
      <c r="A72" s="35"/>
      <c r="B72" s="10" t="s">
        <v>46</v>
      </c>
      <c r="C72" s="12" t="s">
        <v>62</v>
      </c>
      <c r="D72" s="33" t="s">
        <v>186</v>
      </c>
      <c r="E72" s="9">
        <f>120000+50000</f>
        <v>170000</v>
      </c>
      <c r="F72" s="9"/>
      <c r="G72" s="8">
        <f t="shared" si="18"/>
        <v>170000</v>
      </c>
      <c r="H72" s="9"/>
      <c r="I72" s="9"/>
      <c r="J72" s="8">
        <f>H72+I72</f>
        <v>0</v>
      </c>
      <c r="K72" s="8">
        <f t="shared" si="19"/>
        <v>0</v>
      </c>
    </row>
    <row r="73" spans="1:11" ht="90.6" customHeight="1">
      <c r="A73" s="15"/>
      <c r="B73" s="10" t="s">
        <v>184</v>
      </c>
      <c r="C73" s="1" t="s">
        <v>185</v>
      </c>
      <c r="D73" s="34"/>
      <c r="E73" s="9">
        <f>3424+1996.8</f>
        <v>5420.8</v>
      </c>
      <c r="F73" s="9">
        <f>10317.5+4335</f>
        <v>14652.5</v>
      </c>
      <c r="G73" s="8">
        <f>E73+F73</f>
        <v>20073.3</v>
      </c>
      <c r="H73" s="9"/>
      <c r="I73" s="9"/>
      <c r="J73" s="8">
        <f t="shared" ref="J73:J85" si="20">H73+I73</f>
        <v>0</v>
      </c>
      <c r="K73" s="8">
        <f t="shared" si="19"/>
        <v>0</v>
      </c>
    </row>
    <row r="74" spans="1:11" ht="90.75" customHeight="1">
      <c r="A74" s="33">
        <v>17</v>
      </c>
      <c r="B74" s="10"/>
      <c r="C74" s="21" t="s">
        <v>130</v>
      </c>
      <c r="D74" s="16" t="s">
        <v>11</v>
      </c>
      <c r="E74" s="8">
        <f>SUM(E75)</f>
        <v>3000</v>
      </c>
      <c r="F74" s="8">
        <f>SUM(F75)</f>
        <v>0</v>
      </c>
      <c r="G74" s="8">
        <f t="shared" ref="G74:G85" si="21">E74+F74</f>
        <v>3000</v>
      </c>
      <c r="H74" s="8">
        <f>SUM(H75)</f>
        <v>0</v>
      </c>
      <c r="I74" s="8">
        <f>SUM(I75)</f>
        <v>0</v>
      </c>
      <c r="J74" s="8">
        <f t="shared" si="20"/>
        <v>0</v>
      </c>
      <c r="K74" s="8">
        <f t="shared" ref="K74:K90" si="22">J74/G74*100</f>
        <v>0</v>
      </c>
    </row>
    <row r="75" spans="1:11" ht="69.75" customHeight="1">
      <c r="A75" s="34"/>
      <c r="B75" s="10" t="s">
        <v>147</v>
      </c>
      <c r="C75" s="1" t="s">
        <v>131</v>
      </c>
      <c r="D75" s="1" t="s">
        <v>109</v>
      </c>
      <c r="E75" s="9">
        <v>3000</v>
      </c>
      <c r="F75" s="9"/>
      <c r="G75" s="8">
        <f t="shared" si="21"/>
        <v>3000</v>
      </c>
      <c r="H75" s="9"/>
      <c r="I75" s="9"/>
      <c r="J75" s="8">
        <f t="shared" si="20"/>
        <v>0</v>
      </c>
      <c r="K75" s="8">
        <f t="shared" si="22"/>
        <v>0</v>
      </c>
    </row>
    <row r="76" spans="1:11" ht="99" customHeight="1">
      <c r="A76" s="33">
        <v>18</v>
      </c>
      <c r="B76" s="10"/>
      <c r="C76" s="31" t="s">
        <v>142</v>
      </c>
      <c r="D76" s="16" t="s">
        <v>11</v>
      </c>
      <c r="E76" s="8">
        <f>SUM(E77+E78)+E79</f>
        <v>22250</v>
      </c>
      <c r="F76" s="8">
        <f>SUM(F77+F78)+F79</f>
        <v>4225</v>
      </c>
      <c r="G76" s="8">
        <f>E76+F76</f>
        <v>26475</v>
      </c>
      <c r="H76" s="8">
        <f>SUM(H77+H78)+H79</f>
        <v>468.4</v>
      </c>
      <c r="I76" s="8">
        <f>SUM(I77+I78)+I79</f>
        <v>0</v>
      </c>
      <c r="J76" s="8">
        <f t="shared" si="20"/>
        <v>468.4</v>
      </c>
      <c r="K76" s="8">
        <f>J76/G76*100</f>
        <v>1.7692162417374881</v>
      </c>
    </row>
    <row r="77" spans="1:11" ht="54" customHeight="1">
      <c r="A77" s="35"/>
      <c r="B77" s="10">
        <v>2417110</v>
      </c>
      <c r="C77" s="9" t="s">
        <v>143</v>
      </c>
      <c r="D77" s="36" t="s">
        <v>18</v>
      </c>
      <c r="E77" s="9">
        <f>5500+6750</f>
        <v>12250</v>
      </c>
      <c r="F77" s="9"/>
      <c r="G77" s="8">
        <f t="shared" si="21"/>
        <v>12250</v>
      </c>
      <c r="H77" s="9">
        <f>168.4</f>
        <v>168.4</v>
      </c>
      <c r="I77" s="9"/>
      <c r="J77" s="8">
        <f t="shared" si="20"/>
        <v>168.4</v>
      </c>
      <c r="K77" s="8">
        <f>J77/G77*100</f>
        <v>1.3746938775510205</v>
      </c>
    </row>
    <row r="78" spans="1:11" ht="47.25" customHeight="1">
      <c r="A78" s="34"/>
      <c r="B78" s="25">
        <v>2419770</v>
      </c>
      <c r="C78" s="30" t="s">
        <v>31</v>
      </c>
      <c r="D78" s="36"/>
      <c r="E78" s="8"/>
      <c r="F78" s="9">
        <v>4225</v>
      </c>
      <c r="G78" s="8">
        <f t="shared" si="21"/>
        <v>4225</v>
      </c>
      <c r="H78" s="8"/>
      <c r="I78" s="9"/>
      <c r="J78" s="8">
        <f t="shared" si="20"/>
        <v>0</v>
      </c>
      <c r="K78" s="8">
        <f>J78/G78*100</f>
        <v>0</v>
      </c>
    </row>
    <row r="79" spans="1:11" ht="50.25" customHeight="1">
      <c r="A79" s="19"/>
      <c r="B79" s="25" t="s">
        <v>148</v>
      </c>
      <c r="C79" s="30" t="s">
        <v>149</v>
      </c>
      <c r="D79" s="36"/>
      <c r="E79" s="9">
        <f>11000-1000</f>
        <v>10000</v>
      </c>
      <c r="F79" s="9"/>
      <c r="G79" s="8">
        <f t="shared" si="21"/>
        <v>10000</v>
      </c>
      <c r="H79" s="9">
        <f>300</f>
        <v>300</v>
      </c>
      <c r="I79" s="8"/>
      <c r="J79" s="8">
        <f t="shared" si="20"/>
        <v>300</v>
      </c>
      <c r="K79" s="8">
        <f>J79/G79*100</f>
        <v>3</v>
      </c>
    </row>
    <row r="80" spans="1:11" ht="101.25" customHeight="1">
      <c r="A80" s="33">
        <v>19</v>
      </c>
      <c r="B80" s="10"/>
      <c r="C80" s="21" t="s">
        <v>127</v>
      </c>
      <c r="D80" s="16" t="s">
        <v>11</v>
      </c>
      <c r="E80" s="8">
        <f>SUM(E81+E82+E83)</f>
        <v>3400</v>
      </c>
      <c r="F80" s="8">
        <f>SUM(F81+F82+F83)</f>
        <v>23100</v>
      </c>
      <c r="G80" s="8">
        <f t="shared" si="21"/>
        <v>26500</v>
      </c>
      <c r="H80" s="8">
        <f>SUM(H81+H82+H83)</f>
        <v>0</v>
      </c>
      <c r="I80" s="8">
        <f>SUM(I81+I82+I83)</f>
        <v>0</v>
      </c>
      <c r="J80" s="8">
        <f t="shared" si="20"/>
        <v>0</v>
      </c>
      <c r="K80" s="8">
        <f t="shared" si="22"/>
        <v>0</v>
      </c>
    </row>
    <row r="81" spans="1:11" ht="66" customHeight="1">
      <c r="A81" s="35"/>
      <c r="B81" s="10" t="s">
        <v>45</v>
      </c>
      <c r="C81" s="1" t="s">
        <v>63</v>
      </c>
      <c r="D81" s="33" t="s">
        <v>19</v>
      </c>
      <c r="E81" s="9">
        <v>2600</v>
      </c>
      <c r="F81" s="9">
        <v>8300</v>
      </c>
      <c r="G81" s="8">
        <f t="shared" si="21"/>
        <v>10900</v>
      </c>
      <c r="H81" s="9"/>
      <c r="I81" s="9"/>
      <c r="J81" s="8">
        <f t="shared" si="20"/>
        <v>0</v>
      </c>
      <c r="K81" s="8">
        <f t="shared" si="22"/>
        <v>0</v>
      </c>
    </row>
    <row r="82" spans="1:11" ht="62.25" customHeight="1">
      <c r="A82" s="35"/>
      <c r="B82" s="10" t="s">
        <v>67</v>
      </c>
      <c r="C82" s="1" t="s">
        <v>31</v>
      </c>
      <c r="D82" s="35"/>
      <c r="E82" s="9"/>
      <c r="F82" s="9">
        <v>1800</v>
      </c>
      <c r="G82" s="8">
        <f t="shared" si="21"/>
        <v>1800</v>
      </c>
      <c r="H82" s="9"/>
      <c r="I82" s="9"/>
      <c r="J82" s="8">
        <f t="shared" si="20"/>
        <v>0</v>
      </c>
      <c r="K82" s="8">
        <f t="shared" si="22"/>
        <v>0</v>
      </c>
    </row>
    <row r="83" spans="1:11" ht="56.25" customHeight="1">
      <c r="A83" s="34"/>
      <c r="B83" s="10" t="s">
        <v>128</v>
      </c>
      <c r="C83" s="1" t="s">
        <v>129</v>
      </c>
      <c r="D83" s="34"/>
      <c r="E83" s="9">
        <v>800</v>
      </c>
      <c r="F83" s="9">
        <v>13000</v>
      </c>
      <c r="G83" s="8">
        <f t="shared" si="21"/>
        <v>13800</v>
      </c>
      <c r="H83" s="9"/>
      <c r="I83" s="9"/>
      <c r="J83" s="8">
        <f t="shared" si="20"/>
        <v>0</v>
      </c>
      <c r="K83" s="8">
        <f t="shared" si="22"/>
        <v>0</v>
      </c>
    </row>
    <row r="84" spans="1:11" ht="112.5" customHeight="1">
      <c r="A84" s="36">
        <v>20</v>
      </c>
      <c r="B84" s="1"/>
      <c r="C84" s="21" t="s">
        <v>126</v>
      </c>
      <c r="D84" s="16" t="s">
        <v>11</v>
      </c>
      <c r="E84" s="8">
        <f>SUM(E85)</f>
        <v>3700</v>
      </c>
      <c r="F84" s="8">
        <f>SUM(F85)</f>
        <v>1300</v>
      </c>
      <c r="G84" s="8">
        <f t="shared" si="21"/>
        <v>5000</v>
      </c>
      <c r="H84" s="8">
        <f>SUM(H85)</f>
        <v>103.02799999999999</v>
      </c>
      <c r="I84" s="8">
        <f>SUM(I85)</f>
        <v>0</v>
      </c>
      <c r="J84" s="8">
        <f t="shared" si="20"/>
        <v>103.02799999999999</v>
      </c>
      <c r="K84" s="8">
        <f t="shared" si="22"/>
        <v>2.0605599999999997</v>
      </c>
    </row>
    <row r="85" spans="1:11" ht="53.25" customHeight="1">
      <c r="A85" s="36"/>
      <c r="B85" s="10">
        <v>2617622</v>
      </c>
      <c r="C85" s="1" t="s">
        <v>64</v>
      </c>
      <c r="D85" s="12" t="s">
        <v>20</v>
      </c>
      <c r="E85" s="9">
        <v>3700</v>
      </c>
      <c r="F85" s="9">
        <v>1300</v>
      </c>
      <c r="G85" s="8">
        <f t="shared" si="21"/>
        <v>5000</v>
      </c>
      <c r="H85" s="9">
        <f>40.528+62.5</f>
        <v>103.02799999999999</v>
      </c>
      <c r="I85" s="8"/>
      <c r="J85" s="8">
        <f t="shared" si="20"/>
        <v>103.02799999999999</v>
      </c>
      <c r="K85" s="8">
        <f t="shared" si="22"/>
        <v>2.0605599999999997</v>
      </c>
    </row>
    <row r="86" spans="1:11" ht="99" customHeight="1">
      <c r="A86" s="33">
        <v>21</v>
      </c>
      <c r="B86" s="10"/>
      <c r="C86" s="21" t="s">
        <v>162</v>
      </c>
      <c r="D86" s="16" t="s">
        <v>11</v>
      </c>
      <c r="E86" s="8">
        <f>SUM(E87)</f>
        <v>2000</v>
      </c>
      <c r="F86" s="8">
        <f>SUM(F87)</f>
        <v>0</v>
      </c>
      <c r="G86" s="8">
        <f>SUM(E86+F86)</f>
        <v>2000</v>
      </c>
      <c r="H86" s="8">
        <f>SUM(H87)</f>
        <v>0</v>
      </c>
      <c r="I86" s="8">
        <f>SUM(I87)</f>
        <v>0</v>
      </c>
      <c r="J86" s="8">
        <f t="shared" ref="J86:J91" si="23">H86+I86</f>
        <v>0</v>
      </c>
      <c r="K86" s="8">
        <f>J86/G86*100</f>
        <v>0</v>
      </c>
    </row>
    <row r="87" spans="1:11" ht="59.25" customHeight="1">
      <c r="A87" s="34"/>
      <c r="B87" s="10">
        <v>2717150</v>
      </c>
      <c r="C87" s="1" t="s">
        <v>65</v>
      </c>
      <c r="D87" s="1" t="s">
        <v>21</v>
      </c>
      <c r="E87" s="9">
        <v>2000</v>
      </c>
      <c r="F87" s="9"/>
      <c r="G87" s="8">
        <f>E87+F87</f>
        <v>2000</v>
      </c>
      <c r="H87" s="9"/>
      <c r="I87" s="9"/>
      <c r="J87" s="8">
        <f t="shared" si="23"/>
        <v>0</v>
      </c>
      <c r="K87" s="8">
        <f t="shared" si="22"/>
        <v>0</v>
      </c>
    </row>
    <row r="88" spans="1:11" ht="119.25" customHeight="1">
      <c r="A88" s="33">
        <v>22</v>
      </c>
      <c r="B88" s="10"/>
      <c r="C88" s="21" t="s">
        <v>125</v>
      </c>
      <c r="D88" s="16" t="s">
        <v>11</v>
      </c>
      <c r="E88" s="8">
        <f>SUM(E89+E90)</f>
        <v>28950</v>
      </c>
      <c r="F88" s="8">
        <f>SUM(F89+F90)</f>
        <v>4050</v>
      </c>
      <c r="G88" s="8">
        <f>E88+F88</f>
        <v>33000</v>
      </c>
      <c r="H88" s="8">
        <f>SUM(H89+H90)</f>
        <v>144.77100000000002</v>
      </c>
      <c r="I88" s="8">
        <f>SUM(I89+I90)</f>
        <v>0</v>
      </c>
      <c r="J88" s="8">
        <f t="shared" si="23"/>
        <v>144.77100000000002</v>
      </c>
      <c r="K88" s="8">
        <f t="shared" si="22"/>
        <v>0.43870000000000003</v>
      </c>
    </row>
    <row r="89" spans="1:11" ht="56.25" customHeight="1">
      <c r="A89" s="34"/>
      <c r="B89" s="10">
        <v>2717693</v>
      </c>
      <c r="C89" s="9" t="s">
        <v>123</v>
      </c>
      <c r="D89" s="33" t="s">
        <v>21</v>
      </c>
      <c r="E89" s="9">
        <v>27950</v>
      </c>
      <c r="F89" s="9">
        <v>2650</v>
      </c>
      <c r="G89" s="8">
        <f t="shared" ref="G89:G95" si="24">E89+F89</f>
        <v>30600</v>
      </c>
      <c r="H89" s="9">
        <f>36.2+108.571</f>
        <v>144.77100000000002</v>
      </c>
      <c r="I89" s="9"/>
      <c r="J89" s="8">
        <f t="shared" si="23"/>
        <v>144.77100000000002</v>
      </c>
      <c r="K89" s="8">
        <f t="shared" si="22"/>
        <v>0.47310784313725496</v>
      </c>
    </row>
    <row r="90" spans="1:11" ht="57.75" customHeight="1">
      <c r="A90" s="19"/>
      <c r="B90" s="10" t="s">
        <v>153</v>
      </c>
      <c r="C90" s="1" t="s">
        <v>31</v>
      </c>
      <c r="D90" s="34"/>
      <c r="E90" s="9">
        <v>1000</v>
      </c>
      <c r="F90" s="9">
        <v>1400</v>
      </c>
      <c r="G90" s="8">
        <f t="shared" si="24"/>
        <v>2400</v>
      </c>
      <c r="H90" s="9"/>
      <c r="I90" s="9"/>
      <c r="J90" s="8">
        <f t="shared" si="23"/>
        <v>0</v>
      </c>
      <c r="K90" s="8">
        <f t="shared" si="22"/>
        <v>0</v>
      </c>
    </row>
    <row r="91" spans="1:11" ht="114" customHeight="1">
      <c r="A91" s="33">
        <v>23</v>
      </c>
      <c r="B91" s="10"/>
      <c r="C91" s="21" t="s">
        <v>124</v>
      </c>
      <c r="D91" s="16" t="s">
        <v>11</v>
      </c>
      <c r="E91" s="8">
        <f>SUM(E92:E94)</f>
        <v>2115</v>
      </c>
      <c r="F91" s="8">
        <f>SUM(F92:F94)</f>
        <v>48000</v>
      </c>
      <c r="G91" s="8">
        <f t="shared" si="24"/>
        <v>50115</v>
      </c>
      <c r="H91" s="8">
        <f>SUM(H92:H94)</f>
        <v>660.1</v>
      </c>
      <c r="I91" s="8">
        <f>SUM(I92:I94)</f>
        <v>0</v>
      </c>
      <c r="J91" s="8">
        <f t="shared" si="23"/>
        <v>660.1</v>
      </c>
      <c r="K91" s="8">
        <f>J91/G91*100</f>
        <v>1.3171705078319864</v>
      </c>
    </row>
    <row r="92" spans="1:11" ht="53.25" customHeight="1">
      <c r="A92" s="35"/>
      <c r="B92" s="10" t="s">
        <v>66</v>
      </c>
      <c r="C92" s="1" t="s">
        <v>35</v>
      </c>
      <c r="D92" s="36" t="s">
        <v>22</v>
      </c>
      <c r="E92" s="9">
        <v>2115</v>
      </c>
      <c r="F92" s="9"/>
      <c r="G92" s="8">
        <f t="shared" si="24"/>
        <v>2115</v>
      </c>
      <c r="H92" s="9">
        <f>62+80.8+62.7+86.1+63.9+85.2+72.7+90.2+56.5</f>
        <v>660.1</v>
      </c>
      <c r="I92" s="9"/>
      <c r="J92" s="8">
        <f t="shared" ref="J92:J102" si="25">H92+I92</f>
        <v>660.1</v>
      </c>
      <c r="K92" s="8">
        <f>J92/G92*100</f>
        <v>31.210401891252953</v>
      </c>
    </row>
    <row r="93" spans="1:11" ht="51.75" customHeight="1">
      <c r="A93" s="35"/>
      <c r="B93" s="10">
        <v>2818340</v>
      </c>
      <c r="C93" s="1" t="s">
        <v>36</v>
      </c>
      <c r="D93" s="36"/>
      <c r="E93" s="9"/>
      <c r="F93" s="9">
        <v>38000</v>
      </c>
      <c r="G93" s="8">
        <f t="shared" si="24"/>
        <v>38000</v>
      </c>
      <c r="H93" s="9"/>
      <c r="I93" s="9"/>
      <c r="J93" s="8">
        <f t="shared" si="25"/>
        <v>0</v>
      </c>
      <c r="K93" s="8">
        <f>J93/G93*100</f>
        <v>0</v>
      </c>
    </row>
    <row r="94" spans="1:11" ht="53.25" customHeight="1">
      <c r="A94" s="35"/>
      <c r="B94" s="10" t="s">
        <v>165</v>
      </c>
      <c r="C94" s="1" t="s">
        <v>151</v>
      </c>
      <c r="D94" s="36"/>
      <c r="E94" s="9"/>
      <c r="F94" s="9">
        <v>10000</v>
      </c>
      <c r="G94" s="8">
        <f t="shared" si="24"/>
        <v>10000</v>
      </c>
      <c r="H94" s="9"/>
      <c r="I94" s="9"/>
      <c r="J94" s="8">
        <f t="shared" si="25"/>
        <v>0</v>
      </c>
      <c r="K94" s="8">
        <f>J94/G94*100</f>
        <v>0</v>
      </c>
    </row>
    <row r="95" spans="1:11" ht="112.5" customHeight="1">
      <c r="A95" s="36">
        <v>24</v>
      </c>
      <c r="B95" s="10"/>
      <c r="C95" s="21" t="s">
        <v>120</v>
      </c>
      <c r="D95" s="16" t="s">
        <v>11</v>
      </c>
      <c r="E95" s="8">
        <f>SUM(E96:E99)</f>
        <v>21037.77</v>
      </c>
      <c r="F95" s="8">
        <f>SUM(F96:F99)</f>
        <v>9358.23</v>
      </c>
      <c r="G95" s="8">
        <f t="shared" si="24"/>
        <v>30396</v>
      </c>
      <c r="H95" s="8">
        <f>SUM(H96:H99)</f>
        <v>10726.768</v>
      </c>
      <c r="I95" s="8">
        <f>SUM(I96:I99)</f>
        <v>6119.92</v>
      </c>
      <c r="J95" s="8">
        <f t="shared" si="25"/>
        <v>16846.688000000002</v>
      </c>
      <c r="K95" s="8">
        <f t="shared" ref="K95:K102" si="26">J95/G95*100</f>
        <v>55.42402947756284</v>
      </c>
    </row>
    <row r="96" spans="1:11" ht="65.25" customHeight="1">
      <c r="A96" s="36"/>
      <c r="B96" s="10">
        <v>2918110</v>
      </c>
      <c r="C96" s="9" t="s">
        <v>121</v>
      </c>
      <c r="D96" s="33" t="s">
        <v>23</v>
      </c>
      <c r="E96" s="9">
        <v>1600</v>
      </c>
      <c r="F96" s="9"/>
      <c r="G96" s="8">
        <f t="shared" ref="G96:G101" si="27">E96+F96</f>
        <v>1600</v>
      </c>
      <c r="H96" s="9"/>
      <c r="I96" s="9"/>
      <c r="J96" s="8">
        <f t="shared" si="25"/>
        <v>0</v>
      </c>
      <c r="K96" s="8">
        <f t="shared" si="26"/>
        <v>0</v>
      </c>
    </row>
    <row r="97" spans="1:11" ht="54.75" customHeight="1">
      <c r="A97" s="36"/>
      <c r="B97" s="10">
        <v>2918120</v>
      </c>
      <c r="C97" s="9" t="s">
        <v>37</v>
      </c>
      <c r="D97" s="35"/>
      <c r="E97" s="9">
        <v>9550</v>
      </c>
      <c r="F97" s="9">
        <v>1000</v>
      </c>
      <c r="G97" s="8">
        <f t="shared" si="27"/>
        <v>10550</v>
      </c>
      <c r="H97" s="9">
        <f>593.1+322+317.5+315.5+370.3+281.1+0.9+395+0.6+305.7</f>
        <v>2901.7</v>
      </c>
      <c r="I97" s="9"/>
      <c r="J97" s="8">
        <f t="shared" si="25"/>
        <v>2901.7</v>
      </c>
      <c r="K97" s="8">
        <f t="shared" si="26"/>
        <v>27.504265402843604</v>
      </c>
    </row>
    <row r="98" spans="1:11" ht="45.75" customHeight="1">
      <c r="A98" s="36"/>
      <c r="B98" s="10" t="s">
        <v>122</v>
      </c>
      <c r="C98" s="32" t="s">
        <v>31</v>
      </c>
      <c r="D98" s="35"/>
      <c r="E98" s="9">
        <f>335-223.23</f>
        <v>111.77000000000001</v>
      </c>
      <c r="F98" s="9">
        <f>3500-1776.77</f>
        <v>1723.23</v>
      </c>
      <c r="G98" s="8">
        <f t="shared" si="27"/>
        <v>1835</v>
      </c>
      <c r="H98" s="9">
        <f>73.068</f>
        <v>73.067999999999998</v>
      </c>
      <c r="I98" s="9">
        <f>952.38+244.44+288.1</f>
        <v>1484.92</v>
      </c>
      <c r="J98" s="8">
        <f t="shared" si="25"/>
        <v>1557.9880000000001</v>
      </c>
      <c r="K98" s="8">
        <f t="shared" si="26"/>
        <v>84.903978201634871</v>
      </c>
    </row>
    <row r="99" spans="1:11" ht="76.5" customHeight="1">
      <c r="A99" s="36"/>
      <c r="B99" s="25">
        <v>2919800</v>
      </c>
      <c r="C99" s="1" t="s">
        <v>68</v>
      </c>
      <c r="D99" s="34"/>
      <c r="E99" s="9">
        <f>4015+4761+1000</f>
        <v>9776</v>
      </c>
      <c r="F99" s="9">
        <f>7635-1000</f>
        <v>6635</v>
      </c>
      <c r="G99" s="8">
        <f t="shared" si="27"/>
        <v>16411</v>
      </c>
      <c r="H99" s="9">
        <f>300+300+300+491+300+4761+1000+300</f>
        <v>7752</v>
      </c>
      <c r="I99" s="9">
        <f>4635</f>
        <v>4635</v>
      </c>
      <c r="J99" s="8">
        <f t="shared" si="25"/>
        <v>12387</v>
      </c>
      <c r="K99" s="8">
        <f t="shared" si="26"/>
        <v>75.479861068795316</v>
      </c>
    </row>
    <row r="100" spans="1:11" ht="124.5" customHeight="1">
      <c r="A100" s="36">
        <v>25</v>
      </c>
      <c r="B100" s="1"/>
      <c r="C100" s="24" t="s">
        <v>144</v>
      </c>
      <c r="D100" s="16" t="s">
        <v>11</v>
      </c>
      <c r="E100" s="8">
        <f>SUM(E101)</f>
        <v>5000</v>
      </c>
      <c r="F100" s="8">
        <f>SUM(F101)</f>
        <v>0</v>
      </c>
      <c r="G100" s="8">
        <f t="shared" si="27"/>
        <v>5000</v>
      </c>
      <c r="H100" s="8">
        <f>SUM(H101)</f>
        <v>0</v>
      </c>
      <c r="I100" s="8">
        <f>SUM(I101)</f>
        <v>0</v>
      </c>
      <c r="J100" s="8">
        <f t="shared" si="25"/>
        <v>0</v>
      </c>
      <c r="K100" s="8">
        <f t="shared" si="26"/>
        <v>0</v>
      </c>
    </row>
    <row r="101" spans="1:11" ht="60.75" customHeight="1">
      <c r="A101" s="36"/>
      <c r="B101" s="10" t="s">
        <v>145</v>
      </c>
      <c r="C101" s="9" t="s">
        <v>123</v>
      </c>
      <c r="D101" s="1" t="s">
        <v>21</v>
      </c>
      <c r="E101" s="9">
        <v>5000</v>
      </c>
      <c r="F101" s="9">
        <f>2500-2500</f>
        <v>0</v>
      </c>
      <c r="G101" s="8">
        <f t="shared" si="27"/>
        <v>5000</v>
      </c>
      <c r="H101" s="9"/>
      <c r="I101" s="9"/>
      <c r="J101" s="8">
        <f t="shared" si="25"/>
        <v>0</v>
      </c>
      <c r="K101" s="8">
        <f t="shared" si="26"/>
        <v>0</v>
      </c>
    </row>
    <row r="102" spans="1:11" ht="114" customHeight="1">
      <c r="A102" s="36">
        <v>26</v>
      </c>
      <c r="B102" s="17"/>
      <c r="C102" s="24" t="s">
        <v>189</v>
      </c>
      <c r="D102" s="16" t="s">
        <v>11</v>
      </c>
      <c r="E102" s="8">
        <f>SUM(E103:E105)</f>
        <v>46000</v>
      </c>
      <c r="F102" s="8">
        <f>SUM(F103:F105)</f>
        <v>4000</v>
      </c>
      <c r="G102" s="8">
        <f>SUM(E102+F102)</f>
        <v>50000</v>
      </c>
      <c r="H102" s="8">
        <f>SUM(H103:H105)</f>
        <v>95</v>
      </c>
      <c r="I102" s="8">
        <f>SUM(I103:I105)</f>
        <v>0</v>
      </c>
      <c r="J102" s="8">
        <f t="shared" si="25"/>
        <v>95</v>
      </c>
      <c r="K102" s="8">
        <f t="shared" si="26"/>
        <v>0.19</v>
      </c>
    </row>
    <row r="103" spans="1:11" ht="53.25" customHeight="1">
      <c r="A103" s="36"/>
      <c r="B103" s="10" t="s">
        <v>192</v>
      </c>
      <c r="C103" s="1" t="s">
        <v>191</v>
      </c>
      <c r="D103" s="1" t="s">
        <v>21</v>
      </c>
      <c r="E103" s="9">
        <f>66000-66000</f>
        <v>0</v>
      </c>
      <c r="F103" s="9">
        <f>8000-7000</f>
        <v>1000</v>
      </c>
      <c r="G103" s="8">
        <f>+E103+F103</f>
        <v>1000</v>
      </c>
      <c r="H103" s="9"/>
      <c r="I103" s="9"/>
      <c r="J103" s="8">
        <f>+H103+I103</f>
        <v>0</v>
      </c>
      <c r="K103" s="8">
        <f t="shared" ref="K103:K109" si="28">J103/G103*100</f>
        <v>0</v>
      </c>
    </row>
    <row r="104" spans="1:11" ht="52.5" customHeight="1">
      <c r="A104" s="36"/>
      <c r="B104" s="10" t="s">
        <v>78</v>
      </c>
      <c r="C104" s="32" t="s">
        <v>190</v>
      </c>
      <c r="D104" s="9" t="s">
        <v>13</v>
      </c>
      <c r="E104" s="9">
        <f>10503.3+35496.7</f>
        <v>46000</v>
      </c>
      <c r="F104" s="9"/>
      <c r="G104" s="8">
        <f>+E104+F104</f>
        <v>46000</v>
      </c>
      <c r="H104" s="9">
        <f>95</f>
        <v>95</v>
      </c>
      <c r="I104" s="9"/>
      <c r="J104" s="8">
        <f>+H104+I104</f>
        <v>95</v>
      </c>
      <c r="K104" s="8">
        <f t="shared" si="28"/>
        <v>0.20652173913043476</v>
      </c>
    </row>
    <row r="105" spans="1:11" ht="52.5" customHeight="1">
      <c r="A105" s="12"/>
      <c r="B105" s="10" t="s">
        <v>153</v>
      </c>
      <c r="C105" s="32" t="s">
        <v>163</v>
      </c>
      <c r="D105" s="1" t="s">
        <v>21</v>
      </c>
      <c r="E105" s="9"/>
      <c r="F105" s="9">
        <v>3000</v>
      </c>
      <c r="G105" s="8">
        <f>+E105+F105</f>
        <v>3000</v>
      </c>
      <c r="H105" s="9"/>
      <c r="I105" s="9"/>
      <c r="J105" s="8">
        <f>+H105+I105</f>
        <v>0</v>
      </c>
      <c r="K105" s="8">
        <f t="shared" si="28"/>
        <v>0</v>
      </c>
    </row>
    <row r="106" spans="1:11" ht="104.25" customHeight="1">
      <c r="A106" s="33">
        <v>27</v>
      </c>
      <c r="B106" s="10"/>
      <c r="C106" s="20" t="s">
        <v>182</v>
      </c>
      <c r="D106" s="16" t="s">
        <v>11</v>
      </c>
      <c r="E106" s="8">
        <f>SUM(E107:E109)</f>
        <v>14957.6</v>
      </c>
      <c r="F106" s="8">
        <f>SUM(F107:F109)</f>
        <v>100</v>
      </c>
      <c r="G106" s="8">
        <f t="shared" ref="G106:G116" si="29">E106+F106</f>
        <v>15057.6</v>
      </c>
      <c r="H106" s="8">
        <f>SUM(H107:H109)</f>
        <v>0</v>
      </c>
      <c r="I106" s="8">
        <f>SUM(I107:I109)</f>
        <v>0</v>
      </c>
      <c r="J106" s="8">
        <f t="shared" ref="J106:J116" si="30">H106+I106</f>
        <v>0</v>
      </c>
      <c r="K106" s="8">
        <f t="shared" si="28"/>
        <v>0</v>
      </c>
    </row>
    <row r="107" spans="1:11" ht="59.25" customHeight="1">
      <c r="A107" s="35"/>
      <c r="B107" s="10" t="s">
        <v>166</v>
      </c>
      <c r="C107" s="32" t="s">
        <v>167</v>
      </c>
      <c r="D107" s="33" t="s">
        <v>168</v>
      </c>
      <c r="E107" s="9">
        <v>4957.6000000000004</v>
      </c>
      <c r="F107" s="9"/>
      <c r="G107" s="8">
        <f t="shared" si="29"/>
        <v>4957.6000000000004</v>
      </c>
      <c r="H107" s="9"/>
      <c r="I107" s="9"/>
      <c r="J107" s="8">
        <f t="shared" si="30"/>
        <v>0</v>
      </c>
      <c r="K107" s="8">
        <f t="shared" si="28"/>
        <v>0</v>
      </c>
    </row>
    <row r="108" spans="1:11" ht="50.25" customHeight="1">
      <c r="A108" s="35"/>
      <c r="B108" s="10" t="s">
        <v>169</v>
      </c>
      <c r="C108" s="32" t="s">
        <v>163</v>
      </c>
      <c r="D108" s="35"/>
      <c r="E108" s="9">
        <v>10000</v>
      </c>
      <c r="F108" s="9"/>
      <c r="G108" s="8">
        <f t="shared" si="29"/>
        <v>10000</v>
      </c>
      <c r="H108" s="9"/>
      <c r="I108" s="9"/>
      <c r="J108" s="8">
        <f t="shared" si="30"/>
        <v>0</v>
      </c>
      <c r="K108" s="8">
        <f t="shared" si="28"/>
        <v>0</v>
      </c>
    </row>
    <row r="109" spans="1:11" ht="75" customHeight="1">
      <c r="A109" s="34"/>
      <c r="B109" s="10" t="s">
        <v>170</v>
      </c>
      <c r="C109" s="1" t="s">
        <v>68</v>
      </c>
      <c r="D109" s="34"/>
      <c r="E109" s="9"/>
      <c r="F109" s="9">
        <v>100</v>
      </c>
      <c r="G109" s="8">
        <f t="shared" si="29"/>
        <v>100</v>
      </c>
      <c r="H109" s="9"/>
      <c r="I109" s="9"/>
      <c r="J109" s="8">
        <f t="shared" si="30"/>
        <v>0</v>
      </c>
      <c r="K109" s="8">
        <f t="shared" si="28"/>
        <v>0</v>
      </c>
    </row>
    <row r="110" spans="1:11" ht="112.5" customHeight="1">
      <c r="A110" s="33">
        <v>28</v>
      </c>
      <c r="B110" s="10"/>
      <c r="C110" s="21" t="s">
        <v>171</v>
      </c>
      <c r="D110" s="16" t="s">
        <v>11</v>
      </c>
      <c r="E110" s="8">
        <f>SUM(E111:E114)</f>
        <v>5000</v>
      </c>
      <c r="F110" s="8">
        <f>SUM(F111:F114)</f>
        <v>0</v>
      </c>
      <c r="G110" s="8">
        <f t="shared" si="29"/>
        <v>5000</v>
      </c>
      <c r="H110" s="8">
        <f>SUM(H111:H114)</f>
        <v>1200</v>
      </c>
      <c r="I110" s="8">
        <f>SUM(I111:I114)</f>
        <v>0</v>
      </c>
      <c r="J110" s="8">
        <f t="shared" si="30"/>
        <v>1200</v>
      </c>
      <c r="K110" s="8">
        <f t="shared" ref="K110:K126" si="31">J110/G110*100</f>
        <v>24</v>
      </c>
    </row>
    <row r="111" spans="1:11" ht="64.5" customHeight="1">
      <c r="A111" s="35"/>
      <c r="B111" s="10" t="s">
        <v>172</v>
      </c>
      <c r="C111" s="1" t="s">
        <v>173</v>
      </c>
      <c r="D111" s="33" t="s">
        <v>174</v>
      </c>
      <c r="E111" s="9">
        <v>1500</v>
      </c>
      <c r="F111" s="9"/>
      <c r="G111" s="8">
        <f t="shared" si="29"/>
        <v>1500</v>
      </c>
      <c r="H111" s="9"/>
      <c r="I111" s="9"/>
      <c r="J111" s="8">
        <f t="shared" si="30"/>
        <v>0</v>
      </c>
      <c r="K111" s="8">
        <f t="shared" si="31"/>
        <v>0</v>
      </c>
    </row>
    <row r="112" spans="1:11" ht="54.75" customHeight="1">
      <c r="A112" s="35"/>
      <c r="B112" s="10" t="s">
        <v>175</v>
      </c>
      <c r="C112" s="1" t="s">
        <v>176</v>
      </c>
      <c r="D112" s="35"/>
      <c r="E112" s="9">
        <v>3000</v>
      </c>
      <c r="F112" s="9"/>
      <c r="G112" s="8">
        <f t="shared" si="29"/>
        <v>3000</v>
      </c>
      <c r="H112" s="9">
        <f>300+300+300+300</f>
        <v>1200</v>
      </c>
      <c r="I112" s="9"/>
      <c r="J112" s="8">
        <f t="shared" si="30"/>
        <v>1200</v>
      </c>
      <c r="K112" s="8">
        <f t="shared" si="31"/>
        <v>40</v>
      </c>
    </row>
    <row r="113" spans="1:11" ht="51" customHeight="1">
      <c r="A113" s="35"/>
      <c r="B113" s="10" t="s">
        <v>177</v>
      </c>
      <c r="C113" s="1" t="s">
        <v>178</v>
      </c>
      <c r="D113" s="35"/>
      <c r="E113" s="9">
        <v>450</v>
      </c>
      <c r="F113" s="9"/>
      <c r="G113" s="8">
        <f t="shared" si="29"/>
        <v>450</v>
      </c>
      <c r="H113" s="9"/>
      <c r="I113" s="9"/>
      <c r="J113" s="8">
        <f t="shared" si="30"/>
        <v>0</v>
      </c>
      <c r="K113" s="8">
        <f t="shared" si="31"/>
        <v>0</v>
      </c>
    </row>
    <row r="114" spans="1:11" ht="51" customHeight="1">
      <c r="A114" s="34"/>
      <c r="B114" s="10" t="s">
        <v>179</v>
      </c>
      <c r="C114" s="1" t="s">
        <v>180</v>
      </c>
      <c r="D114" s="34"/>
      <c r="E114" s="9">
        <v>50</v>
      </c>
      <c r="F114" s="9"/>
      <c r="G114" s="8">
        <f t="shared" si="29"/>
        <v>50</v>
      </c>
      <c r="H114" s="9"/>
      <c r="I114" s="9"/>
      <c r="J114" s="8">
        <f t="shared" si="30"/>
        <v>0</v>
      </c>
      <c r="K114" s="8">
        <f t="shared" si="31"/>
        <v>0</v>
      </c>
    </row>
    <row r="115" spans="1:11" ht="138.75" customHeight="1">
      <c r="A115" s="33">
        <v>29</v>
      </c>
      <c r="B115" s="10"/>
      <c r="C115" s="24" t="s">
        <v>181</v>
      </c>
      <c r="D115" s="16" t="s">
        <v>11</v>
      </c>
      <c r="E115" s="8">
        <f>SUM(E116)</f>
        <v>51300</v>
      </c>
      <c r="F115" s="8">
        <f>SUM(F116)</f>
        <v>8700</v>
      </c>
      <c r="G115" s="8">
        <f t="shared" si="29"/>
        <v>60000</v>
      </c>
      <c r="H115" s="8">
        <f>SUM(H116)</f>
        <v>19491.599999999999</v>
      </c>
      <c r="I115" s="8">
        <f>SUM(I116)</f>
        <v>175</v>
      </c>
      <c r="J115" s="8">
        <f t="shared" si="30"/>
        <v>19666.599999999999</v>
      </c>
      <c r="K115" s="8">
        <f t="shared" si="31"/>
        <v>32.777666666666669</v>
      </c>
    </row>
    <row r="116" spans="1:11" ht="80.25" customHeight="1">
      <c r="A116" s="34"/>
      <c r="B116" s="10">
        <v>3719800</v>
      </c>
      <c r="C116" s="1" t="s">
        <v>68</v>
      </c>
      <c r="D116" s="1" t="s">
        <v>24</v>
      </c>
      <c r="E116" s="9">
        <v>51300</v>
      </c>
      <c r="F116" s="9">
        <v>8700</v>
      </c>
      <c r="G116" s="8">
        <f t="shared" si="29"/>
        <v>60000</v>
      </c>
      <c r="H116" s="9">
        <f>5088.6+3273.2+6952.8+4177</f>
        <v>19491.599999999999</v>
      </c>
      <c r="I116" s="9">
        <f>175</f>
        <v>175</v>
      </c>
      <c r="J116" s="8">
        <f t="shared" si="30"/>
        <v>19666.599999999999</v>
      </c>
      <c r="K116" s="8">
        <f t="shared" si="31"/>
        <v>32.777666666666669</v>
      </c>
    </row>
    <row r="117" spans="1:11" ht="151.5" customHeight="1">
      <c r="A117" s="33">
        <v>30</v>
      </c>
      <c r="B117" s="10"/>
      <c r="C117" s="24" t="s">
        <v>200</v>
      </c>
      <c r="D117" s="16" t="s">
        <v>11</v>
      </c>
      <c r="E117" s="8">
        <f>SUM(E118:E121)</f>
        <v>78000</v>
      </c>
      <c r="F117" s="8">
        <f>SUM(F118:F121)</f>
        <v>0</v>
      </c>
      <c r="G117" s="8">
        <f t="shared" ref="G117:G123" si="32">SUM(E117+F117)</f>
        <v>78000</v>
      </c>
      <c r="H117" s="8">
        <f>SUM(H118:H121)</f>
        <v>0</v>
      </c>
      <c r="I117" s="8">
        <f>SUM(I118:I121)</f>
        <v>0</v>
      </c>
      <c r="J117" s="8">
        <f>SUM(H117+I117)</f>
        <v>0</v>
      </c>
      <c r="K117" s="8">
        <f>J117/G117*100</f>
        <v>0</v>
      </c>
    </row>
    <row r="118" spans="1:11" ht="81" customHeight="1">
      <c r="A118" s="35"/>
      <c r="B118" s="10" t="s">
        <v>193</v>
      </c>
      <c r="C118" s="1" t="s">
        <v>194</v>
      </c>
      <c r="D118" s="1" t="s">
        <v>1</v>
      </c>
      <c r="E118" s="9">
        <f>45000</f>
        <v>45000</v>
      </c>
      <c r="F118" s="9"/>
      <c r="G118" s="8">
        <f t="shared" si="32"/>
        <v>45000</v>
      </c>
      <c r="H118" s="9"/>
      <c r="I118" s="9"/>
      <c r="J118" s="8">
        <f>SUM(H118+I118)</f>
        <v>0</v>
      </c>
      <c r="K118" s="8">
        <f t="shared" si="31"/>
        <v>0</v>
      </c>
    </row>
    <row r="119" spans="1:11" ht="81" customHeight="1">
      <c r="A119" s="35"/>
      <c r="B119" s="10" t="s">
        <v>197</v>
      </c>
      <c r="C119" s="1" t="s">
        <v>194</v>
      </c>
      <c r="D119" s="12" t="s">
        <v>20</v>
      </c>
      <c r="E119" s="9">
        <f>23000</f>
        <v>23000</v>
      </c>
      <c r="F119" s="9"/>
      <c r="G119" s="8">
        <f t="shared" si="32"/>
        <v>23000</v>
      </c>
      <c r="H119" s="9"/>
      <c r="I119" s="9"/>
      <c r="J119" s="8">
        <f>SUM(H119+I119)</f>
        <v>0</v>
      </c>
      <c r="K119" s="8">
        <f t="shared" si="31"/>
        <v>0</v>
      </c>
    </row>
    <row r="120" spans="1:11" ht="72.75" customHeight="1">
      <c r="A120" s="35"/>
      <c r="B120" s="10" t="s">
        <v>198</v>
      </c>
      <c r="C120" s="1" t="s">
        <v>196</v>
      </c>
      <c r="D120" s="1" t="s">
        <v>174</v>
      </c>
      <c r="E120" s="9">
        <f>5000</f>
        <v>5000</v>
      </c>
      <c r="F120" s="9"/>
      <c r="G120" s="8">
        <f t="shared" si="32"/>
        <v>5000</v>
      </c>
      <c r="H120" s="9"/>
      <c r="I120" s="9"/>
      <c r="J120" s="8">
        <f>SUM(H120+I120)</f>
        <v>0</v>
      </c>
      <c r="K120" s="8">
        <f t="shared" si="31"/>
        <v>0</v>
      </c>
    </row>
    <row r="121" spans="1:11" ht="57" customHeight="1">
      <c r="A121" s="34"/>
      <c r="B121" s="10" t="s">
        <v>195</v>
      </c>
      <c r="C121" s="1" t="s">
        <v>196</v>
      </c>
      <c r="D121" s="1" t="s">
        <v>186</v>
      </c>
      <c r="E121" s="9">
        <f>5000</f>
        <v>5000</v>
      </c>
      <c r="F121" s="9"/>
      <c r="G121" s="8">
        <f t="shared" si="32"/>
        <v>5000</v>
      </c>
      <c r="H121" s="9"/>
      <c r="I121" s="9"/>
      <c r="J121" s="8">
        <f>SUM(H121+I121)</f>
        <v>0</v>
      </c>
      <c r="K121" s="8">
        <f t="shared" si="31"/>
        <v>0</v>
      </c>
    </row>
    <row r="122" spans="1:11" ht="105" customHeight="1">
      <c r="A122" s="33">
        <v>31</v>
      </c>
      <c r="B122" s="10"/>
      <c r="C122" s="24" t="s">
        <v>199</v>
      </c>
      <c r="D122" s="16" t="s">
        <v>11</v>
      </c>
      <c r="E122" s="8">
        <f>SUM(E123)</f>
        <v>30000</v>
      </c>
      <c r="F122" s="8">
        <f>SUM(F123)</f>
        <v>20000</v>
      </c>
      <c r="G122" s="8">
        <f t="shared" si="32"/>
        <v>50000</v>
      </c>
      <c r="H122" s="8">
        <f>SUM(H123)</f>
        <v>0</v>
      </c>
      <c r="I122" s="8">
        <f>SUM(I123)</f>
        <v>0</v>
      </c>
      <c r="J122" s="8">
        <f>SUM(H121+I121)</f>
        <v>0</v>
      </c>
      <c r="K122" s="8">
        <f t="shared" si="31"/>
        <v>0</v>
      </c>
    </row>
    <row r="123" spans="1:11" ht="70.5" customHeight="1">
      <c r="A123" s="34"/>
      <c r="B123" s="10" t="s">
        <v>145</v>
      </c>
      <c r="C123" s="9" t="s">
        <v>123</v>
      </c>
      <c r="D123" s="1" t="s">
        <v>21</v>
      </c>
      <c r="E123" s="9">
        <f>30000</f>
        <v>30000</v>
      </c>
      <c r="F123" s="9">
        <f>20000</f>
        <v>20000</v>
      </c>
      <c r="G123" s="8">
        <f t="shared" si="32"/>
        <v>50000</v>
      </c>
      <c r="H123" s="9"/>
      <c r="I123" s="9"/>
      <c r="J123" s="8">
        <f>SUM(H122+I122)</f>
        <v>0</v>
      </c>
      <c r="K123" s="8">
        <f t="shared" si="31"/>
        <v>0</v>
      </c>
    </row>
    <row r="124" spans="1:11" ht="114.75" customHeight="1">
      <c r="A124" s="33">
        <v>32</v>
      </c>
      <c r="B124" s="10"/>
      <c r="C124" s="24" t="s">
        <v>205</v>
      </c>
      <c r="D124" s="16" t="s">
        <v>11</v>
      </c>
      <c r="E124" s="8">
        <f>SUM(E125)</f>
        <v>50</v>
      </c>
      <c r="F124" s="8">
        <f>SUM(F125)</f>
        <v>0</v>
      </c>
      <c r="G124" s="8">
        <f>E124+F124</f>
        <v>50</v>
      </c>
      <c r="H124" s="8">
        <f>SUM(H125)</f>
        <v>0</v>
      </c>
      <c r="I124" s="8">
        <f>SUM(I125)</f>
        <v>0</v>
      </c>
      <c r="J124" s="8">
        <f>H124+I124</f>
        <v>0</v>
      </c>
      <c r="K124" s="8">
        <f>J124/G124*100</f>
        <v>0</v>
      </c>
    </row>
    <row r="125" spans="1:11" ht="120.75" customHeight="1">
      <c r="A125" s="34"/>
      <c r="B125" s="10" t="s">
        <v>201</v>
      </c>
      <c r="C125" s="26" t="s">
        <v>141</v>
      </c>
      <c r="D125" s="12" t="s">
        <v>188</v>
      </c>
      <c r="E125" s="9">
        <v>50</v>
      </c>
      <c r="F125" s="9"/>
      <c r="G125" s="8">
        <f>SUM(E125+F125)</f>
        <v>50</v>
      </c>
      <c r="H125" s="9"/>
      <c r="I125" s="9"/>
      <c r="J125" s="8">
        <f>SUM(H125+I125)</f>
        <v>0</v>
      </c>
      <c r="K125" s="8">
        <f>J125/G125*100</f>
        <v>0</v>
      </c>
    </row>
    <row r="126" spans="1:11" ht="36" customHeight="1">
      <c r="A126" s="42" t="s">
        <v>207</v>
      </c>
      <c r="B126" s="42"/>
      <c r="C126" s="42"/>
      <c r="D126" s="42"/>
      <c r="E126" s="8">
        <f>E5+E10+E17+E20+E35+E39+E43+E45+E47+E55+E57++E59+E61+E64+E68+E71+E74+E76+E80+E84+E88+E91+E95+E100+E102+E115+E86+E110+E106+E117+E122</f>
        <v>1377366.7700000003</v>
      </c>
      <c r="F126" s="8">
        <f>F5+F10+F17+F20+F35+F39+F43+F45+F47+F55+F57++F59+F61+F64+F68+F71+F74+F76+F80+F84+F88+F91+F95+F100+F102+F115+F86+F110+F106+F117+F122</f>
        <v>295414.33</v>
      </c>
      <c r="G126" s="8">
        <f>E126+F126</f>
        <v>1672781.1000000003</v>
      </c>
      <c r="H126" s="8">
        <f>H5+H10+H17+H20+H35+H39+H43+H45+H47+H55+H57++H59+H61+H64+H68+H71+H74+H76+H80+H84+H88+H91+H95+H100+H102+H115+H86+H110</f>
        <v>308005.61700000003</v>
      </c>
      <c r="I126" s="8">
        <f>I5+I10+I17+I20+I35+I39+I43+I45+I47+I55+I57+I59+I61+I64+I68+I71+I74+I76+I80+I84+I88+I91+I95+I100+I102+I115+I86</f>
        <v>9919.82</v>
      </c>
      <c r="J126" s="8">
        <f>H126+I126</f>
        <v>317925.43700000003</v>
      </c>
      <c r="K126" s="8">
        <f t="shared" si="31"/>
        <v>19.005800400303421</v>
      </c>
    </row>
    <row r="127" spans="1:11">
      <c r="A127" s="2"/>
      <c r="B127" s="6"/>
      <c r="C127" s="4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6"/>
      <c r="C128" s="4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6"/>
      <c r="C129" s="4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6"/>
      <c r="C130" s="4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6"/>
      <c r="C131" s="4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6"/>
      <c r="C132" s="4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6"/>
      <c r="C133" s="4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6"/>
      <c r="C134" s="4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6"/>
      <c r="C135" s="4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6"/>
      <c r="C136" s="4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6"/>
      <c r="C137" s="4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6"/>
      <c r="C138" s="4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6"/>
      <c r="C139" s="4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6"/>
      <c r="C140" s="4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6"/>
      <c r="C141" s="4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6"/>
      <c r="C142" s="4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6"/>
      <c r="C143" s="4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6"/>
      <c r="C144" s="4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6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</sheetData>
  <mergeCells count="64">
    <mergeCell ref="D29:D34"/>
    <mergeCell ref="A47:A54"/>
    <mergeCell ref="A115:A116"/>
    <mergeCell ref="A106:A109"/>
    <mergeCell ref="D65:D67"/>
    <mergeCell ref="D77:D79"/>
    <mergeCell ref="D69:D70"/>
    <mergeCell ref="D62:D63"/>
    <mergeCell ref="D52:D54"/>
    <mergeCell ref="D48:D51"/>
    <mergeCell ref="D92:D94"/>
    <mergeCell ref="D89:D90"/>
    <mergeCell ref="D81:D83"/>
    <mergeCell ref="A59:A60"/>
    <mergeCell ref="A91:A94"/>
    <mergeCell ref="A84:A85"/>
    <mergeCell ref="A76:A78"/>
    <mergeCell ref="A74:A75"/>
    <mergeCell ref="A80:A83"/>
    <mergeCell ref="A20:A32"/>
    <mergeCell ref="A88:A89"/>
    <mergeCell ref="A57:A58"/>
    <mergeCell ref="A64:A67"/>
    <mergeCell ref="A61:A63"/>
    <mergeCell ref="A68:A70"/>
    <mergeCell ref="A86:A87"/>
    <mergeCell ref="A71:A72"/>
    <mergeCell ref="A45:A46"/>
    <mergeCell ref="A55:A56"/>
    <mergeCell ref="D72:D73"/>
    <mergeCell ref="D111:D114"/>
    <mergeCell ref="A126:D126"/>
    <mergeCell ref="A1:J1"/>
    <mergeCell ref="D2:E2"/>
    <mergeCell ref="D36:D38"/>
    <mergeCell ref="A43:A44"/>
    <mergeCell ref="D8:D9"/>
    <mergeCell ref="D11:D12"/>
    <mergeCell ref="D13:D16"/>
    <mergeCell ref="K3:K4"/>
    <mergeCell ref="A5:A9"/>
    <mergeCell ref="A39:A41"/>
    <mergeCell ref="D40:D41"/>
    <mergeCell ref="A10:A16"/>
    <mergeCell ref="A35:A38"/>
    <mergeCell ref="C6:C7"/>
    <mergeCell ref="D18:D19"/>
    <mergeCell ref="D21:D28"/>
    <mergeCell ref="A17:A19"/>
    <mergeCell ref="B3:B4"/>
    <mergeCell ref="A3:A4"/>
    <mergeCell ref="C3:C4"/>
    <mergeCell ref="D3:D4"/>
    <mergeCell ref="E3:G3"/>
    <mergeCell ref="H3:J3"/>
    <mergeCell ref="A124:A125"/>
    <mergeCell ref="D107:D109"/>
    <mergeCell ref="A102:A104"/>
    <mergeCell ref="A95:A99"/>
    <mergeCell ref="A100:A101"/>
    <mergeCell ref="D96:D99"/>
    <mergeCell ref="A122:A123"/>
    <mergeCell ref="A117:A121"/>
    <mergeCell ref="A110:A114"/>
  </mergeCells>
  <phoneticPr fontId="37" type="noConversion"/>
  <printOptions horizontalCentered="1"/>
  <pageMargins left="0.15748031496062992" right="0.15748031496062992" top="0.23622047244094491" bottom="0.14000000000000001" header="0.23622047244094491" footer="0.14000000000000001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user</cp:lastModifiedBy>
  <cp:lastPrinted>2022-05-19T08:52:42Z</cp:lastPrinted>
  <dcterms:created xsi:type="dcterms:W3CDTF">2019-01-30T14:30:49Z</dcterms:created>
  <dcterms:modified xsi:type="dcterms:W3CDTF">2022-06-07T13:49:26Z</dcterms:modified>
</cp:coreProperties>
</file>