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0" windowWidth="13932" windowHeight="7188" tabRatio="734"/>
  </bookViews>
  <sheets>
    <sheet name="Лист1" sheetId="59" r:id="rId1"/>
  </sheets>
  <externalReferences>
    <externalReference r:id="rId2"/>
    <externalReference r:id="rId3"/>
    <externalReference r:id="rId4"/>
    <externalReference r:id="rId5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[2]джер_фінанс!#REF!</definedName>
    <definedName name="_ёИ900202">[2]джер_фінанс!#REF!</definedName>
    <definedName name="_ёК900101">[2]джер_фінанс!#REF!</definedName>
    <definedName name="_ёК900102">[2]джер_фінанс!#REF!</definedName>
    <definedName name="_ёЛ900203">[2]джер_фінанс!#REF!</definedName>
    <definedName name="_ёЛ900300">[2]джер_фінанс!#REF!</definedName>
    <definedName name="_ёЪ900400">[2]джер_фінанс!#REF!</definedName>
    <definedName name="_И010100">[2]джер_фінанс!#REF!</definedName>
    <definedName name="_И010200">[2]джер_фінанс!#REF!</definedName>
    <definedName name="_И040000">[2]джер_фінанс!#REF!</definedName>
    <definedName name="_И050000">[2]джер_фінанс!#REF!</definedName>
    <definedName name="_И060000">[2]джер_фінанс!#REF!</definedName>
    <definedName name="_И070000">[2]джер_фінанс!#REF!</definedName>
    <definedName name="_И080000">[2]джер_фінанс!#REF!</definedName>
    <definedName name="_И090000">[2]джер_фінанс!#REF!</definedName>
    <definedName name="_И090200">[2]джер_фінанс!#REF!</definedName>
    <definedName name="_И090201">[2]джер_фінанс!#REF!</definedName>
    <definedName name="_И090202">[2]джер_фінанс!#REF!</definedName>
    <definedName name="_И090203">[2]джер_фінанс!#REF!</definedName>
    <definedName name="_И090300">[2]джер_фінанс!#REF!</definedName>
    <definedName name="_И090301">[2]джер_фінанс!#REF!</definedName>
    <definedName name="_И090302">[2]джер_фінанс!#REF!</definedName>
    <definedName name="_И090303">[2]джер_фінанс!#REF!</definedName>
    <definedName name="_И090304">[2]джер_фінанс!#REF!</definedName>
    <definedName name="_И090305">[2]джер_фінанс!#REF!</definedName>
    <definedName name="_И090306">[2]джер_фінанс!#REF!</definedName>
    <definedName name="_И090307">[2]джер_фінанс!#REF!</definedName>
    <definedName name="_И090400">[2]джер_фінанс!#REF!</definedName>
    <definedName name="_И090405">[2]джер_фінанс!#REF!</definedName>
    <definedName name="_И090412">[2]джер_фінанс!#REF!</definedName>
    <definedName name="_И090601">[2]джер_фінанс!#REF!</definedName>
    <definedName name="_И090700">[2]джер_фінанс!#REF!</definedName>
    <definedName name="_И090900">[2]джер_фінанс!#REF!</definedName>
    <definedName name="_И091100">[2]джер_фінанс!#REF!</definedName>
    <definedName name="_И091200">[2]джер_фінанс!#REF!</definedName>
    <definedName name="_И100000">[2]джер_фінанс!#REF!</definedName>
    <definedName name="_И100100">[2]джер_фінанс!#REF!</definedName>
    <definedName name="_И100103">[2]джер_фінанс!#REF!</definedName>
    <definedName name="_И100200">[2]джер_фінанс!#REF!</definedName>
    <definedName name="_И100203">[2]джер_фінанс!#REF!</definedName>
    <definedName name="_И100204">[2]джер_фінанс!#REF!</definedName>
    <definedName name="_И110000">[2]джер_фінанс!#REF!</definedName>
    <definedName name="_И120000">[2]джер_фінанс!#REF!</definedName>
    <definedName name="_И130000">[2]джер_фінанс!#REF!</definedName>
    <definedName name="_И140000">[2]джер_фінанс!#REF!</definedName>
    <definedName name="_И140102">[2]джер_фінанс!#REF!</definedName>
    <definedName name="_И150000">[2]джер_фінанс!#REF!</definedName>
    <definedName name="_И150101">[2]джер_фінанс!#REF!</definedName>
    <definedName name="_И160000">[2]джер_фінанс!#REF!</definedName>
    <definedName name="_И160100">[2]джер_фінанс!#REF!</definedName>
    <definedName name="_И160103">[2]джер_фінанс!#REF!</definedName>
    <definedName name="_И160200">[2]джер_фінанс!#REF!</definedName>
    <definedName name="_И160300">[2]джер_фінанс!#REF!</definedName>
    <definedName name="_И160304">[2]джер_фінанс!#REF!</definedName>
    <definedName name="_И170000">[2]джер_фінанс!#REF!</definedName>
    <definedName name="_И170100">[2]джер_фінанс!#REF!</definedName>
    <definedName name="_И170101">[2]джер_фінанс!#REF!</definedName>
    <definedName name="_И170300">[2]джер_фінанс!#REF!</definedName>
    <definedName name="_И170303">[2]джер_фінанс!#REF!</definedName>
    <definedName name="_И170600">[2]джер_фінанс!#REF!</definedName>
    <definedName name="_И170601">[2]джер_фінанс!#REF!</definedName>
    <definedName name="_И170700">[2]джер_фінанс!#REF!</definedName>
    <definedName name="_И170703">[2]джер_фінанс!#REF!</definedName>
    <definedName name="_И200000">[2]джер_фінанс!#REF!</definedName>
    <definedName name="_И210000">[2]джер_фінанс!#REF!</definedName>
    <definedName name="_И210200">[2]джер_фінанс!#REF!</definedName>
    <definedName name="_И240000">[2]джер_фінанс!#REF!</definedName>
    <definedName name="_И240600">[2]джер_фінанс!#REF!</definedName>
    <definedName name="_И250000">[2]джер_фінанс!#REF!</definedName>
    <definedName name="_И250102">[2]джер_фінанс!#REF!</definedName>
    <definedName name="_И250200">[2]джер_фінанс!#REF!</definedName>
    <definedName name="_И250301">[2]джер_фінанс!#REF!</definedName>
    <definedName name="_И250307">[2]джер_фінанс!#REF!</definedName>
    <definedName name="_И250500">[2]джер_фінанс!#REF!</definedName>
    <definedName name="_И250501">[2]джер_фінанс!#REF!</definedName>
    <definedName name="_И250502">[2]джер_фінанс!#REF!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[2]джер_фінанс!#REF!</definedName>
    <definedName name="_К110000">[2]джер_фінанс!#REF!</definedName>
    <definedName name="_К110100">[2]джер_фінанс!#REF!</definedName>
    <definedName name="_К110200">[2]джер_фінанс!#REF!</definedName>
    <definedName name="_К120000">[2]джер_фінанс!#REF!</definedName>
    <definedName name="_К120200">[2]джер_фінанс!#REF!</definedName>
    <definedName name="_К130000">[2]джер_фінанс!#REF!</definedName>
    <definedName name="_К130100">[2]джер_фінанс!#REF!</definedName>
    <definedName name="_К130200">[2]джер_фінанс!#REF!</definedName>
    <definedName name="_К130300">[2]джер_фінанс!#REF!</definedName>
    <definedName name="_К130500">[2]джер_фінанс!#REF!</definedName>
    <definedName name="_К140000">[2]джер_фінанс!#REF!</definedName>
    <definedName name="_К140601">[2]джер_фінанс!#REF!</definedName>
    <definedName name="_К140602">[2]джер_фінанс!#REF!</definedName>
    <definedName name="_К140603">[2]джер_фінанс!#REF!</definedName>
    <definedName name="_К140700">[2]джер_фінанс!#REF!</definedName>
    <definedName name="_К160000">[2]джер_фінанс!#REF!</definedName>
    <definedName name="_К160100">[2]джер_фінанс!#REF!</definedName>
    <definedName name="_К160200">[2]джер_фінанс!#REF!</definedName>
    <definedName name="_К160300">[2]джер_фінанс!#REF!</definedName>
    <definedName name="_К200000">[2]джер_фінанс!#REF!</definedName>
    <definedName name="_К210000">[2]джер_фінанс!#REF!</definedName>
    <definedName name="_К210700">[2]джер_фінанс!#REF!</definedName>
    <definedName name="_К220000">[2]джер_фінанс!#REF!</definedName>
    <definedName name="_К220800">[2]джер_фінанс!#REF!</definedName>
    <definedName name="_К220900">[2]джер_фінанс!#REF!</definedName>
    <definedName name="_К230000">[2]джер_фінанс!#REF!</definedName>
    <definedName name="_К240000">[2]джер_фінанс!#REF!</definedName>
    <definedName name="_К240800">[2]джер_фінанс!#REF!</definedName>
    <definedName name="_К400000">[2]джер_фінанс!#REF!</definedName>
    <definedName name="_К410100">[2]джер_фінанс!#REF!</definedName>
    <definedName name="_К410400">[2]джер_фінанс!#REF!</definedName>
    <definedName name="_К500000">[2]джер_фінанс!#REF!</definedName>
    <definedName name="_К500800">[2]джер_фінанс!#REF!</definedName>
    <definedName name="_К500900">[2]джер_фінанс!#REF!</definedName>
    <definedName name="_Л1000">[2]джер_фінанс!#REF!</definedName>
    <definedName name="_Л1100">[2]джер_фінанс!#REF!</definedName>
    <definedName name="_Л1110">[2]джер_фінанс!#REF!</definedName>
    <definedName name="_Л1120">[2]джер_фінанс!#REF!</definedName>
    <definedName name="_Л1130">[2]джер_фінанс!#REF!</definedName>
    <definedName name="_Л1140">[2]джер_фінанс!#REF!</definedName>
    <definedName name="_Л1150">[2]джер_фінанс!#REF!</definedName>
    <definedName name="_Л1160">[2]джер_фінанс!#REF!</definedName>
    <definedName name="_Л1161">[2]джер_фінанс!#REF!</definedName>
    <definedName name="_Л1162">[2]джер_фінанс!#REF!</definedName>
    <definedName name="_Л1163">[2]джер_фінанс!#REF!</definedName>
    <definedName name="_Л1164">[2]джер_фінанс!#REF!</definedName>
    <definedName name="_Л1170">[2]джер_фінанс!#REF!</definedName>
    <definedName name="_Л1200">[2]джер_фінанс!#REF!</definedName>
    <definedName name="_Л1300">[2]джер_фінанс!#REF!</definedName>
    <definedName name="_Л1340">[2]джер_фінанс!#REF!</definedName>
    <definedName name="_Л2000">[2]джер_фінанс!#REF!</definedName>
    <definedName name="_Л2100">[2]джер_фінанс!#REF!</definedName>
    <definedName name="_Л2110">[2]джер_фінанс!#REF!</definedName>
    <definedName name="_Л2120">[2]джер_фінанс!#REF!</definedName>
    <definedName name="_Л2130">[2]джер_фінанс!#REF!</definedName>
    <definedName name="_Л2200">[2]джер_фінанс!#REF!</definedName>
    <definedName name="_Л2300">[2]джер_фінанс!#REF!</definedName>
    <definedName name="_Л3000">[2]джер_фінанс!#REF!</definedName>
    <definedName name="_Л4000">[2]джер_фінанс!#REF!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xlnm._FilterDatabase" localSheetId="0" hidden="1">Лист1!$A$3:$AB$4</definedName>
    <definedName name="_Ъ100000">[2]джер_фінанс!#REF!</definedName>
    <definedName name="_Ъ101000">[2]джер_фінанс!#REF!</definedName>
    <definedName name="_Ъ102000">[2]джер_фінанс!#REF!</definedName>
    <definedName name="_Ъ201000">[2]джер_фінанс!#REF!</definedName>
    <definedName name="_Ъ201010">[2]джер_фінанс!#REF!</definedName>
    <definedName name="_Ъ201011">[2]джер_фінанс!#REF!</definedName>
    <definedName name="_Ъ201012">[2]джер_фінанс!#REF!</definedName>
    <definedName name="_Ъ201020">[2]джер_фінанс!#REF!</definedName>
    <definedName name="_Ъ201021">[2]джер_фінанс!#REF!</definedName>
    <definedName name="_Ъ201022">[2]джер_фінанс!#REF!</definedName>
    <definedName name="_Ъ201030">[2]джер_фінанс!#REF!</definedName>
    <definedName name="_Ъ201031">[2]джер_фінанс!#REF!</definedName>
    <definedName name="_Ъ201032">[2]джер_фінанс!#REF!</definedName>
    <definedName name="_Ъ202000">[2]джер_фінанс!#REF!</definedName>
    <definedName name="_Ъ202010">[2]джер_фінанс!#REF!</definedName>
    <definedName name="_Ъ202011">[2]джер_фінанс!#REF!</definedName>
    <definedName name="_Ъ202012">[2]джер_фінанс!#REF!</definedName>
    <definedName name="_Ъ203000">[2]джер_фінанс!#REF!</definedName>
    <definedName name="_Ъ203010">[2]джер_фінанс!#REF!</definedName>
    <definedName name="_Ъ203011">[2]джер_фінанс!#REF!</definedName>
    <definedName name="_Ъ203012">[2]джер_фінанс!#REF!</definedName>
    <definedName name="_Ъ204000">[2]джер_фінанс!#REF!</definedName>
    <definedName name="_Ъ205000">[2]джер_фінанс!#REF!</definedName>
    <definedName name="_Ъ206000">[2]джер_фінанс!#REF!</definedName>
    <definedName name="_Ъ206001">[2]джер_фінанс!#REF!</definedName>
    <definedName name="_Ъ206002">[2]джер_фінанс!#REF!</definedName>
    <definedName name="rrr">[4]Оренда!$A$4:$B$29</definedName>
    <definedName name="а22100">#REF!</definedName>
    <definedName name="алпдвалп">#REF!</definedName>
    <definedName name="_xlnm.Database">#REF!</definedName>
    <definedName name="В68">#REF!</definedName>
    <definedName name="вс">#REF!</definedName>
    <definedName name="_xlnm.Print_Titles" localSheetId="0">Лист1!$3:$4</definedName>
    <definedName name="иори">#REF!</definedName>
    <definedName name="і">#REF!</definedName>
    <definedName name="область">#REF!</definedName>
    <definedName name="_xlnm.Print_Area" localSheetId="0">Лист1!$A$1:$J$111</definedName>
  </definedNames>
  <calcPr calcId="124519" fullCalcOnLoad="1"/>
</workbook>
</file>

<file path=xl/calcChain.xml><?xml version="1.0" encoding="utf-8"?>
<calcChain xmlns="http://schemas.openxmlformats.org/spreadsheetml/2006/main">
  <c r="G62" i="59"/>
  <c r="G59"/>
  <c r="G58"/>
  <c r="G55"/>
  <c r="H47"/>
  <c r="G46"/>
  <c r="G44" s="1"/>
  <c r="G45"/>
  <c r="G37"/>
  <c r="G32"/>
  <c r="H25"/>
  <c r="G23"/>
  <c r="H106"/>
  <c r="G95"/>
  <c r="H88"/>
  <c r="H78"/>
  <c r="H75" s="1"/>
  <c r="H73" s="1"/>
  <c r="I73" s="1"/>
  <c r="H81"/>
  <c r="G78"/>
  <c r="H74"/>
  <c r="G72"/>
  <c r="I72" s="1"/>
  <c r="J72" s="1"/>
  <c r="G71"/>
  <c r="H70"/>
  <c r="G67"/>
  <c r="G56"/>
  <c r="G9"/>
  <c r="G7"/>
  <c r="G98"/>
  <c r="H95"/>
  <c r="G91"/>
  <c r="G86"/>
  <c r="G74"/>
  <c r="D56"/>
  <c r="G38"/>
  <c r="H19"/>
  <c r="H14" s="1"/>
  <c r="G19"/>
  <c r="G14" s="1"/>
  <c r="I14" s="1"/>
  <c r="G15"/>
  <c r="G35"/>
  <c r="H48"/>
  <c r="G47"/>
  <c r="H22"/>
  <c r="I28"/>
  <c r="J28" s="1"/>
  <c r="F28"/>
  <c r="H40"/>
  <c r="H39" s="1"/>
  <c r="G41"/>
  <c r="G40" s="1"/>
  <c r="E41"/>
  <c r="E40"/>
  <c r="E39" s="1"/>
  <c r="D41"/>
  <c r="D40" s="1"/>
  <c r="F41"/>
  <c r="I42"/>
  <c r="J42" s="1"/>
  <c r="X42" s="1"/>
  <c r="F42"/>
  <c r="AB39"/>
  <c r="AA39"/>
  <c r="Z39"/>
  <c r="Y39"/>
  <c r="X39"/>
  <c r="W39"/>
  <c r="V39"/>
  <c r="U39"/>
  <c r="T39"/>
  <c r="S39"/>
  <c r="G48"/>
  <c r="H44"/>
  <c r="D45"/>
  <c r="D44" s="1"/>
  <c r="E49"/>
  <c r="E44" s="1"/>
  <c r="E43" s="1"/>
  <c r="AB42"/>
  <c r="AA42"/>
  <c r="Z42"/>
  <c r="Y42"/>
  <c r="W42"/>
  <c r="V42"/>
  <c r="U42"/>
  <c r="T42"/>
  <c r="S42"/>
  <c r="G102"/>
  <c r="I102" s="1"/>
  <c r="J102" s="1"/>
  <c r="G83"/>
  <c r="E74"/>
  <c r="F74" s="1"/>
  <c r="J74" s="1"/>
  <c r="D74"/>
  <c r="G8"/>
  <c r="G6"/>
  <c r="I6" s="1"/>
  <c r="J6" s="1"/>
  <c r="H6"/>
  <c r="E6"/>
  <c r="F6" s="1"/>
  <c r="D6"/>
  <c r="AB8"/>
  <c r="AB12"/>
  <c r="D15"/>
  <c r="D14" s="1"/>
  <c r="F14" s="1"/>
  <c r="D18"/>
  <c r="E15"/>
  <c r="E18"/>
  <c r="E14"/>
  <c r="AB19"/>
  <c r="AB21"/>
  <c r="AB31"/>
  <c r="G33"/>
  <c r="I33" s="1"/>
  <c r="H36"/>
  <c r="H33" s="1"/>
  <c r="D35"/>
  <c r="D37"/>
  <c r="D33"/>
  <c r="F33" s="1"/>
  <c r="E33"/>
  <c r="AB38"/>
  <c r="AB51"/>
  <c r="G52"/>
  <c r="I52" s="1"/>
  <c r="H52"/>
  <c r="D55"/>
  <c r="D52"/>
  <c r="F52" s="1"/>
  <c r="E52"/>
  <c r="AB56"/>
  <c r="AB65"/>
  <c r="G66"/>
  <c r="I66" s="1"/>
  <c r="H66"/>
  <c r="D67"/>
  <c r="D66" s="1"/>
  <c r="E66"/>
  <c r="AB67"/>
  <c r="AB68"/>
  <c r="I71"/>
  <c r="D71"/>
  <c r="F71" s="1"/>
  <c r="F72"/>
  <c r="AB73"/>
  <c r="I74"/>
  <c r="G75"/>
  <c r="I75" s="1"/>
  <c r="D76"/>
  <c r="D75" s="1"/>
  <c r="E78"/>
  <c r="E75"/>
  <c r="AB78"/>
  <c r="AB82"/>
  <c r="I83"/>
  <c r="J83" s="1"/>
  <c r="F83"/>
  <c r="AB84"/>
  <c r="H85"/>
  <c r="G85"/>
  <c r="I85" s="1"/>
  <c r="D87"/>
  <c r="D85" s="1"/>
  <c r="E88"/>
  <c r="E85"/>
  <c r="AB88"/>
  <c r="AB89"/>
  <c r="I91"/>
  <c r="I90" s="1"/>
  <c r="I92"/>
  <c r="D91"/>
  <c r="D90" s="1"/>
  <c r="AB91"/>
  <c r="AB94"/>
  <c r="I95"/>
  <c r="D95"/>
  <c r="E95"/>
  <c r="F95"/>
  <c r="J95" s="1"/>
  <c r="AB101"/>
  <c r="F102"/>
  <c r="AB5"/>
  <c r="AB7"/>
  <c r="AB9"/>
  <c r="AB10"/>
  <c r="H11"/>
  <c r="I11" s="1"/>
  <c r="J11" s="1"/>
  <c r="F11"/>
  <c r="H13"/>
  <c r="I13"/>
  <c r="J13" s="1"/>
  <c r="D13"/>
  <c r="F13" s="1"/>
  <c r="E13"/>
  <c r="AB15"/>
  <c r="AB16"/>
  <c r="AB17"/>
  <c r="AB18"/>
  <c r="AB20"/>
  <c r="G24"/>
  <c r="G22" s="1"/>
  <c r="G25"/>
  <c r="G26"/>
  <c r="G27"/>
  <c r="D25"/>
  <c r="D22" s="1"/>
  <c r="D26"/>
  <c r="E25"/>
  <c r="E22" s="1"/>
  <c r="E21" s="1"/>
  <c r="AB23"/>
  <c r="AB24"/>
  <c r="AB25"/>
  <c r="AB26"/>
  <c r="AB27"/>
  <c r="AB29"/>
  <c r="H30"/>
  <c r="I30"/>
  <c r="E30"/>
  <c r="F30" s="1"/>
  <c r="J30" s="1"/>
  <c r="I32"/>
  <c r="J32" s="1"/>
  <c r="F32"/>
  <c r="AB34"/>
  <c r="AB35"/>
  <c r="AB36"/>
  <c r="AB37"/>
  <c r="AB43"/>
  <c r="AB45"/>
  <c r="AB46"/>
  <c r="AB47"/>
  <c r="AB48"/>
  <c r="AB49"/>
  <c r="AB50"/>
  <c r="AB53"/>
  <c r="AB54"/>
  <c r="AB55"/>
  <c r="G57"/>
  <c r="H57"/>
  <c r="I57"/>
  <c r="D58"/>
  <c r="D57" s="1"/>
  <c r="E57"/>
  <c r="AB58"/>
  <c r="AB59"/>
  <c r="AB60"/>
  <c r="AB61"/>
  <c r="H62"/>
  <c r="I62"/>
  <c r="J62" s="1"/>
  <c r="F62"/>
  <c r="H63"/>
  <c r="I63" s="1"/>
  <c r="J63" s="1"/>
  <c r="D63"/>
  <c r="F63" s="1"/>
  <c r="E63"/>
  <c r="AB64"/>
  <c r="H69"/>
  <c r="I69"/>
  <c r="J69" s="1"/>
  <c r="E69"/>
  <c r="F69"/>
  <c r="I70"/>
  <c r="J70" s="1"/>
  <c r="E70"/>
  <c r="F70" s="1"/>
  <c r="AB76"/>
  <c r="AB77"/>
  <c r="G79"/>
  <c r="I79" s="1"/>
  <c r="J79" s="1"/>
  <c r="H79"/>
  <c r="D79"/>
  <c r="E79"/>
  <c r="F79"/>
  <c r="AB80"/>
  <c r="AB81"/>
  <c r="AB86"/>
  <c r="AB87"/>
  <c r="AB92"/>
  <c r="G93"/>
  <c r="I93"/>
  <c r="J93" s="1"/>
  <c r="F93"/>
  <c r="AB96"/>
  <c r="H98"/>
  <c r="H97" s="1"/>
  <c r="H100"/>
  <c r="G99"/>
  <c r="G100"/>
  <c r="G97"/>
  <c r="E100"/>
  <c r="E97" s="1"/>
  <c r="D100"/>
  <c r="D97"/>
  <c r="AB98"/>
  <c r="AB99"/>
  <c r="AB100"/>
  <c r="G103"/>
  <c r="I103" s="1"/>
  <c r="H105"/>
  <c r="H103" s="1"/>
  <c r="H107"/>
  <c r="D103"/>
  <c r="E104"/>
  <c r="E103" s="1"/>
  <c r="AB104"/>
  <c r="AB105"/>
  <c r="AB106"/>
  <c r="AB107"/>
  <c r="AB108"/>
  <c r="G109"/>
  <c r="I109"/>
  <c r="J109" s="1"/>
  <c r="D109"/>
  <c r="F109" s="1"/>
  <c r="G110"/>
  <c r="I110"/>
  <c r="J110" s="1"/>
  <c r="F110"/>
  <c r="AA8"/>
  <c r="AA12"/>
  <c r="AA19"/>
  <c r="AA21"/>
  <c r="AA31"/>
  <c r="AA38"/>
  <c r="AA51"/>
  <c r="AA56"/>
  <c r="AA65"/>
  <c r="AA67"/>
  <c r="AA68"/>
  <c r="AA73"/>
  <c r="AA78"/>
  <c r="AA82"/>
  <c r="AA84"/>
  <c r="AA88"/>
  <c r="AA89"/>
  <c r="AA91"/>
  <c r="AA94"/>
  <c r="AA101"/>
  <c r="AA5"/>
  <c r="AA7"/>
  <c r="AA9"/>
  <c r="AA10"/>
  <c r="AA15"/>
  <c r="AA16"/>
  <c r="AA17"/>
  <c r="AA18"/>
  <c r="AA20"/>
  <c r="AA23"/>
  <c r="AA24"/>
  <c r="AA25"/>
  <c r="AA26"/>
  <c r="AA27"/>
  <c r="AA29"/>
  <c r="AA34"/>
  <c r="AA35"/>
  <c r="AA36"/>
  <c r="AA37"/>
  <c r="AA43"/>
  <c r="AA45"/>
  <c r="AA46"/>
  <c r="AA47"/>
  <c r="AA48"/>
  <c r="AA49"/>
  <c r="AA50"/>
  <c r="AA53"/>
  <c r="AA54"/>
  <c r="AA55"/>
  <c r="AA58"/>
  <c r="AA59"/>
  <c r="AA60"/>
  <c r="AA61"/>
  <c r="AA64"/>
  <c r="AA76"/>
  <c r="AA77"/>
  <c r="AA80"/>
  <c r="AA81"/>
  <c r="AA86"/>
  <c r="AA87"/>
  <c r="AA92"/>
  <c r="AA96"/>
  <c r="AA98"/>
  <c r="AA99"/>
  <c r="AA100"/>
  <c r="AA104"/>
  <c r="AA105"/>
  <c r="AA106"/>
  <c r="AA107"/>
  <c r="AA108"/>
  <c r="Z8"/>
  <c r="Z12"/>
  <c r="Z19"/>
  <c r="Z21"/>
  <c r="Z31"/>
  <c r="Z38"/>
  <c r="Z51"/>
  <c r="Z56"/>
  <c r="Z65"/>
  <c r="Z67"/>
  <c r="Z68"/>
  <c r="Z73"/>
  <c r="Z78"/>
  <c r="Z82"/>
  <c r="Z84"/>
  <c r="Z88"/>
  <c r="Z89"/>
  <c r="Z91"/>
  <c r="Z94"/>
  <c r="Z101"/>
  <c r="Z5"/>
  <c r="Z7"/>
  <c r="Z9"/>
  <c r="Z10"/>
  <c r="Z15"/>
  <c r="Z16"/>
  <c r="Z17"/>
  <c r="Z18"/>
  <c r="Z20"/>
  <c r="Z23"/>
  <c r="Z24"/>
  <c r="Z25"/>
  <c r="Z26"/>
  <c r="Z27"/>
  <c r="Z29"/>
  <c r="Z34"/>
  <c r="Z35"/>
  <c r="Z36"/>
  <c r="Z37"/>
  <c r="Z43"/>
  <c r="Z45"/>
  <c r="Z46"/>
  <c r="Z47"/>
  <c r="Z48"/>
  <c r="Z49"/>
  <c r="Z50"/>
  <c r="Z53"/>
  <c r="Z54"/>
  <c r="Z55"/>
  <c r="Z58"/>
  <c r="Z59"/>
  <c r="Z60"/>
  <c r="Z61"/>
  <c r="Z64"/>
  <c r="Z76"/>
  <c r="Z77"/>
  <c r="Z80"/>
  <c r="Z81"/>
  <c r="Z86"/>
  <c r="Z87"/>
  <c r="Z92"/>
  <c r="Z96"/>
  <c r="Z98"/>
  <c r="Z99"/>
  <c r="Z100"/>
  <c r="Z104"/>
  <c r="Z105"/>
  <c r="Z106"/>
  <c r="Z107"/>
  <c r="Z108"/>
  <c r="Y8"/>
  <c r="Y12"/>
  <c r="Y19"/>
  <c r="Y21"/>
  <c r="Y31"/>
  <c r="Y38"/>
  <c r="Y51"/>
  <c r="Y56"/>
  <c r="Y65"/>
  <c r="Y67"/>
  <c r="Y68"/>
  <c r="Y73"/>
  <c r="Y78"/>
  <c r="Y82"/>
  <c r="Y84"/>
  <c r="Y88"/>
  <c r="Y89"/>
  <c r="Y91"/>
  <c r="Y94"/>
  <c r="Y101"/>
  <c r="Y5"/>
  <c r="Y7"/>
  <c r="Y9"/>
  <c r="Y10"/>
  <c r="Y15"/>
  <c r="Y16"/>
  <c r="Y17"/>
  <c r="Y18"/>
  <c r="Y20"/>
  <c r="Y23"/>
  <c r="Y24"/>
  <c r="Y25"/>
  <c r="Y26"/>
  <c r="Y27"/>
  <c r="Y29"/>
  <c r="Y34"/>
  <c r="Y35"/>
  <c r="Y36"/>
  <c r="Y37"/>
  <c r="Y43"/>
  <c r="Y45"/>
  <c r="Y46"/>
  <c r="Y47"/>
  <c r="Y48"/>
  <c r="Y49"/>
  <c r="Y50"/>
  <c r="Y53"/>
  <c r="Y54"/>
  <c r="Y55"/>
  <c r="Y58"/>
  <c r="Y59"/>
  <c r="Y60"/>
  <c r="Y61"/>
  <c r="Y64"/>
  <c r="Y76"/>
  <c r="Y77"/>
  <c r="Y80"/>
  <c r="Y81"/>
  <c r="Y86"/>
  <c r="Y87"/>
  <c r="Y92"/>
  <c r="Y96"/>
  <c r="Y98"/>
  <c r="Y99"/>
  <c r="Y100"/>
  <c r="Y104"/>
  <c r="Y105"/>
  <c r="Y106"/>
  <c r="Y107"/>
  <c r="Y108"/>
  <c r="I8"/>
  <c r="F8"/>
  <c r="J8"/>
  <c r="X8" s="1"/>
  <c r="X12"/>
  <c r="I19"/>
  <c r="F19"/>
  <c r="J19"/>
  <c r="X19" s="1"/>
  <c r="X21"/>
  <c r="X31"/>
  <c r="I38"/>
  <c r="J38" s="1"/>
  <c r="X38" s="1"/>
  <c r="F38"/>
  <c r="X51"/>
  <c r="I56"/>
  <c r="J56" s="1"/>
  <c r="X56" s="1"/>
  <c r="F56"/>
  <c r="X65"/>
  <c r="I67"/>
  <c r="J67" s="1"/>
  <c r="X67" s="1"/>
  <c r="F67"/>
  <c r="X68"/>
  <c r="X73"/>
  <c r="I78"/>
  <c r="J78" s="1"/>
  <c r="X78" s="1"/>
  <c r="F78"/>
  <c r="X82"/>
  <c r="X84"/>
  <c r="I88"/>
  <c r="J88" s="1"/>
  <c r="X88" s="1"/>
  <c r="F88"/>
  <c r="X89"/>
  <c r="F91"/>
  <c r="J91"/>
  <c r="X91" s="1"/>
  <c r="X94"/>
  <c r="X101"/>
  <c r="X5"/>
  <c r="I7"/>
  <c r="F7"/>
  <c r="J7"/>
  <c r="X7" s="1"/>
  <c r="I9"/>
  <c r="J9" s="1"/>
  <c r="X9" s="1"/>
  <c r="F9"/>
  <c r="X10"/>
  <c r="I15"/>
  <c r="J15" s="1"/>
  <c r="X15" s="1"/>
  <c r="F15"/>
  <c r="I16"/>
  <c r="J16" s="1"/>
  <c r="X16" s="1"/>
  <c r="F16"/>
  <c r="I17"/>
  <c r="F17"/>
  <c r="J17" s="1"/>
  <c r="X17" s="1"/>
  <c r="I18"/>
  <c r="J18" s="1"/>
  <c r="X18" s="1"/>
  <c r="F18"/>
  <c r="I20"/>
  <c r="J20" s="1"/>
  <c r="X20" s="1"/>
  <c r="F20"/>
  <c r="I23"/>
  <c r="J23" s="1"/>
  <c r="X23" s="1"/>
  <c r="F23"/>
  <c r="I24"/>
  <c r="F24"/>
  <c r="J24"/>
  <c r="X24" s="1"/>
  <c r="I25"/>
  <c r="J25" s="1"/>
  <c r="X25" s="1"/>
  <c r="F25"/>
  <c r="I26"/>
  <c r="J26" s="1"/>
  <c r="X26" s="1"/>
  <c r="F26"/>
  <c r="I27"/>
  <c r="F27"/>
  <c r="J27"/>
  <c r="X27" s="1"/>
  <c r="X29"/>
  <c r="I34"/>
  <c r="F34"/>
  <c r="J34" s="1"/>
  <c r="X34" s="1"/>
  <c r="I35"/>
  <c r="J35" s="1"/>
  <c r="X35" s="1"/>
  <c r="F35"/>
  <c r="I36"/>
  <c r="J36" s="1"/>
  <c r="X36" s="1"/>
  <c r="F36"/>
  <c r="I37"/>
  <c r="F37"/>
  <c r="J37" s="1"/>
  <c r="X37" s="1"/>
  <c r="X43"/>
  <c r="I45"/>
  <c r="J45" s="1"/>
  <c r="X45" s="1"/>
  <c r="F45"/>
  <c r="I46"/>
  <c r="F46"/>
  <c r="J46"/>
  <c r="X46" s="1"/>
  <c r="I47"/>
  <c r="J47" s="1"/>
  <c r="X47" s="1"/>
  <c r="F47"/>
  <c r="I48"/>
  <c r="J48" s="1"/>
  <c r="X48" s="1"/>
  <c r="F48"/>
  <c r="I49"/>
  <c r="F49"/>
  <c r="J49"/>
  <c r="X49"/>
  <c r="I50"/>
  <c r="J50" s="1"/>
  <c r="X50" s="1"/>
  <c r="F50"/>
  <c r="I53"/>
  <c r="J53" s="1"/>
  <c r="X53" s="1"/>
  <c r="F53"/>
  <c r="I54"/>
  <c r="F54"/>
  <c r="J54"/>
  <c r="X54"/>
  <c r="I55"/>
  <c r="J55" s="1"/>
  <c r="X55" s="1"/>
  <c r="F55"/>
  <c r="I58"/>
  <c r="J58" s="1"/>
  <c r="X58" s="1"/>
  <c r="F58"/>
  <c r="I59"/>
  <c r="F59"/>
  <c r="J59"/>
  <c r="X59" s="1"/>
  <c r="I60"/>
  <c r="J60" s="1"/>
  <c r="X60" s="1"/>
  <c r="F60"/>
  <c r="X61"/>
  <c r="I64"/>
  <c r="F64"/>
  <c r="J64"/>
  <c r="X64"/>
  <c r="I76"/>
  <c r="F76"/>
  <c r="J76"/>
  <c r="X76"/>
  <c r="I77"/>
  <c r="J77" s="1"/>
  <c r="X77" s="1"/>
  <c r="F77"/>
  <c r="I80"/>
  <c r="J80" s="1"/>
  <c r="X80" s="1"/>
  <c r="F80"/>
  <c r="I81"/>
  <c r="F81"/>
  <c r="J81"/>
  <c r="X81" s="1"/>
  <c r="I86"/>
  <c r="J86" s="1"/>
  <c r="X86" s="1"/>
  <c r="F86"/>
  <c r="I87"/>
  <c r="J87" s="1"/>
  <c r="X87" s="1"/>
  <c r="F87"/>
  <c r="F92"/>
  <c r="J92"/>
  <c r="X92"/>
  <c r="X96"/>
  <c r="I98"/>
  <c r="F98"/>
  <c r="J98"/>
  <c r="X98" s="1"/>
  <c r="I99"/>
  <c r="J99" s="1"/>
  <c r="X99" s="1"/>
  <c r="F99"/>
  <c r="I100"/>
  <c r="J100" s="1"/>
  <c r="X100" s="1"/>
  <c r="F100"/>
  <c r="I104"/>
  <c r="J104" s="1"/>
  <c r="X104" s="1"/>
  <c r="F104"/>
  <c r="I105"/>
  <c r="F105"/>
  <c r="J105"/>
  <c r="X105"/>
  <c r="I106"/>
  <c r="J106" s="1"/>
  <c r="X106" s="1"/>
  <c r="F106"/>
  <c r="I107"/>
  <c r="J107" s="1"/>
  <c r="X107" s="1"/>
  <c r="F107"/>
  <c r="X108"/>
  <c r="G73"/>
  <c r="E73"/>
  <c r="H12"/>
  <c r="H21"/>
  <c r="V21"/>
  <c r="V25"/>
  <c r="V31"/>
  <c r="V35"/>
  <c r="V37"/>
  <c r="V43"/>
  <c r="V45"/>
  <c r="V51"/>
  <c r="V55"/>
  <c r="V58"/>
  <c r="V59"/>
  <c r="V61"/>
  <c r="V94"/>
  <c r="V26"/>
  <c r="V5"/>
  <c r="V7"/>
  <c r="V8"/>
  <c r="V9"/>
  <c r="V10"/>
  <c r="V12"/>
  <c r="V15"/>
  <c r="V16"/>
  <c r="V17"/>
  <c r="V18"/>
  <c r="V19"/>
  <c r="V20"/>
  <c r="V36"/>
  <c r="V38"/>
  <c r="V65"/>
  <c r="V67"/>
  <c r="V68"/>
  <c r="V73"/>
  <c r="V78"/>
  <c r="V84"/>
  <c r="V88"/>
  <c r="V89"/>
  <c r="V91"/>
  <c r="V56"/>
  <c r="V96"/>
  <c r="V98"/>
  <c r="V100"/>
  <c r="V105"/>
  <c r="V108"/>
  <c r="V86"/>
  <c r="V27"/>
  <c r="V46"/>
  <c r="V49"/>
  <c r="V82"/>
  <c r="V101"/>
  <c r="V23"/>
  <c r="V24"/>
  <c r="V29"/>
  <c r="V34"/>
  <c r="V47"/>
  <c r="V48"/>
  <c r="V50"/>
  <c r="V53"/>
  <c r="V54"/>
  <c r="V60"/>
  <c r="V64"/>
  <c r="V76"/>
  <c r="V77"/>
  <c r="V80"/>
  <c r="V81"/>
  <c r="V87"/>
  <c r="V92"/>
  <c r="V99"/>
  <c r="V104"/>
  <c r="V106"/>
  <c r="V107"/>
  <c r="U21"/>
  <c r="U25"/>
  <c r="U31"/>
  <c r="U35"/>
  <c r="U37"/>
  <c r="U43"/>
  <c r="U45"/>
  <c r="U51"/>
  <c r="U55"/>
  <c r="U58"/>
  <c r="U59"/>
  <c r="U61"/>
  <c r="U94"/>
  <c r="U26"/>
  <c r="U5"/>
  <c r="U7"/>
  <c r="U8"/>
  <c r="U9"/>
  <c r="U10"/>
  <c r="U12"/>
  <c r="U15"/>
  <c r="U16"/>
  <c r="U17"/>
  <c r="U18"/>
  <c r="U19"/>
  <c r="U20"/>
  <c r="U36"/>
  <c r="U38"/>
  <c r="U65"/>
  <c r="U67"/>
  <c r="U68"/>
  <c r="U73"/>
  <c r="U78"/>
  <c r="U84"/>
  <c r="U88"/>
  <c r="U89"/>
  <c r="U91"/>
  <c r="U56"/>
  <c r="U96"/>
  <c r="U98"/>
  <c r="U100"/>
  <c r="U105"/>
  <c r="U108"/>
  <c r="U86"/>
  <c r="U27"/>
  <c r="U46"/>
  <c r="U49"/>
  <c r="U82"/>
  <c r="U101"/>
  <c r="U23"/>
  <c r="U24"/>
  <c r="U29"/>
  <c r="U34"/>
  <c r="U47"/>
  <c r="U48"/>
  <c r="U50"/>
  <c r="U53"/>
  <c r="U54"/>
  <c r="U60"/>
  <c r="U64"/>
  <c r="U76"/>
  <c r="U77"/>
  <c r="U80"/>
  <c r="U81"/>
  <c r="U87"/>
  <c r="U92"/>
  <c r="U99"/>
  <c r="U104"/>
  <c r="U106"/>
  <c r="U107"/>
  <c r="T21"/>
  <c r="T25"/>
  <c r="T31"/>
  <c r="T35"/>
  <c r="T37"/>
  <c r="T43"/>
  <c r="T45"/>
  <c r="T51"/>
  <c r="T55"/>
  <c r="T58"/>
  <c r="T59"/>
  <c r="T61"/>
  <c r="T94"/>
  <c r="T26"/>
  <c r="T5"/>
  <c r="T7"/>
  <c r="T8"/>
  <c r="T9"/>
  <c r="T10"/>
  <c r="T12"/>
  <c r="T15"/>
  <c r="T16"/>
  <c r="T17"/>
  <c r="T18"/>
  <c r="T19"/>
  <c r="T20"/>
  <c r="T36"/>
  <c r="T38"/>
  <c r="T65"/>
  <c r="T67"/>
  <c r="T68"/>
  <c r="T73"/>
  <c r="T78"/>
  <c r="T84"/>
  <c r="T88"/>
  <c r="T89"/>
  <c r="T91"/>
  <c r="T56"/>
  <c r="T96"/>
  <c r="T98"/>
  <c r="T100"/>
  <c r="T105"/>
  <c r="T108"/>
  <c r="T86"/>
  <c r="T27"/>
  <c r="T46"/>
  <c r="T49"/>
  <c r="T82"/>
  <c r="T101"/>
  <c r="T23"/>
  <c r="T24"/>
  <c r="T29"/>
  <c r="T34"/>
  <c r="T47"/>
  <c r="T48"/>
  <c r="T50"/>
  <c r="T53"/>
  <c r="T54"/>
  <c r="T60"/>
  <c r="T64"/>
  <c r="T76"/>
  <c r="T77"/>
  <c r="T80"/>
  <c r="T81"/>
  <c r="T87"/>
  <c r="T92"/>
  <c r="T99"/>
  <c r="T104"/>
  <c r="T106"/>
  <c r="T107"/>
  <c r="S21"/>
  <c r="S25"/>
  <c r="S31"/>
  <c r="S35"/>
  <c r="S37"/>
  <c r="S43"/>
  <c r="S45"/>
  <c r="S51"/>
  <c r="S55"/>
  <c r="S58"/>
  <c r="S59"/>
  <c r="S61"/>
  <c r="S94"/>
  <c r="S26"/>
  <c r="S5"/>
  <c r="S7"/>
  <c r="S8"/>
  <c r="S9"/>
  <c r="S10"/>
  <c r="S12"/>
  <c r="S15"/>
  <c r="S16"/>
  <c r="S17"/>
  <c r="S18"/>
  <c r="S19"/>
  <c r="S20"/>
  <c r="S36"/>
  <c r="S38"/>
  <c r="S65"/>
  <c r="S67"/>
  <c r="S68"/>
  <c r="S73"/>
  <c r="S78"/>
  <c r="S84"/>
  <c r="S88"/>
  <c r="S89"/>
  <c r="S91"/>
  <c r="S56"/>
  <c r="S96"/>
  <c r="S98"/>
  <c r="S100"/>
  <c r="S105"/>
  <c r="S108"/>
  <c r="S86"/>
  <c r="S27"/>
  <c r="S46"/>
  <c r="S49"/>
  <c r="S82"/>
  <c r="S101"/>
  <c r="S23"/>
  <c r="S24"/>
  <c r="S29"/>
  <c r="S34"/>
  <c r="S47"/>
  <c r="S48"/>
  <c r="S50"/>
  <c r="S53"/>
  <c r="S54"/>
  <c r="S60"/>
  <c r="S64"/>
  <c r="S76"/>
  <c r="S77"/>
  <c r="S80"/>
  <c r="S81"/>
  <c r="S87"/>
  <c r="S92"/>
  <c r="S99"/>
  <c r="S104"/>
  <c r="S106"/>
  <c r="S107"/>
  <c r="W21"/>
  <c r="W25"/>
  <c r="W31"/>
  <c r="W35"/>
  <c r="W37"/>
  <c r="W43"/>
  <c r="W45"/>
  <c r="W51"/>
  <c r="W55"/>
  <c r="W58"/>
  <c r="W59"/>
  <c r="W61"/>
  <c r="W94"/>
  <c r="W26"/>
  <c r="W5"/>
  <c r="W7"/>
  <c r="W8"/>
  <c r="W9"/>
  <c r="W10"/>
  <c r="W12"/>
  <c r="W15"/>
  <c r="W16"/>
  <c r="W17"/>
  <c r="W18"/>
  <c r="W19"/>
  <c r="W20"/>
  <c r="W36"/>
  <c r="W38"/>
  <c r="W65"/>
  <c r="W67"/>
  <c r="W68"/>
  <c r="W73"/>
  <c r="W78"/>
  <c r="W84"/>
  <c r="W88"/>
  <c r="W89"/>
  <c r="W91"/>
  <c r="W56"/>
  <c r="W96"/>
  <c r="W98"/>
  <c r="W100"/>
  <c r="W105"/>
  <c r="W108"/>
  <c r="W86"/>
  <c r="W27"/>
  <c r="W46"/>
  <c r="W49"/>
  <c r="W82"/>
  <c r="W101"/>
  <c r="W23"/>
  <c r="W24"/>
  <c r="W29"/>
  <c r="W34"/>
  <c r="W47"/>
  <c r="W48"/>
  <c r="W50"/>
  <c r="W53"/>
  <c r="W54"/>
  <c r="W60"/>
  <c r="W64"/>
  <c r="W76"/>
  <c r="W77"/>
  <c r="W80"/>
  <c r="W81"/>
  <c r="W87"/>
  <c r="W92"/>
  <c r="W99"/>
  <c r="W104"/>
  <c r="W106"/>
  <c r="W107"/>
  <c r="G61"/>
  <c r="H61"/>
  <c r="I61"/>
  <c r="E61"/>
  <c r="F61" s="1"/>
  <c r="D61"/>
  <c r="G89"/>
  <c r="G90"/>
  <c r="G5"/>
  <c r="H5"/>
  <c r="H89"/>
  <c r="I89" s="1"/>
  <c r="H84"/>
  <c r="H10"/>
  <c r="H68"/>
  <c r="H51"/>
  <c r="I51" s="1"/>
  <c r="H94"/>
  <c r="H29"/>
  <c r="H31"/>
  <c r="H43"/>
  <c r="H65"/>
  <c r="I65" s="1"/>
  <c r="H82"/>
  <c r="H101"/>
  <c r="H108"/>
  <c r="G65"/>
  <c r="G108"/>
  <c r="I108" s="1"/>
  <c r="G31"/>
  <c r="G51"/>
  <c r="G84"/>
  <c r="G68"/>
  <c r="G94"/>
  <c r="I94" s="1"/>
  <c r="J94" s="1"/>
  <c r="G96"/>
  <c r="G101"/>
  <c r="G10"/>
  <c r="G12"/>
  <c r="G29"/>
  <c r="G82"/>
  <c r="I82" s="1"/>
  <c r="J82" s="1"/>
  <c r="D94"/>
  <c r="D5"/>
  <c r="D10"/>
  <c r="D12"/>
  <c r="D29"/>
  <c r="D31"/>
  <c r="D68"/>
  <c r="F68" s="1"/>
  <c r="D82"/>
  <c r="D96"/>
  <c r="D101"/>
  <c r="D108"/>
  <c r="F108" s="1"/>
  <c r="E5"/>
  <c r="E10"/>
  <c r="E12"/>
  <c r="E29"/>
  <c r="E31"/>
  <c r="F31" s="1"/>
  <c r="E51"/>
  <c r="E65"/>
  <c r="E68"/>
  <c r="E82"/>
  <c r="F82" s="1"/>
  <c r="E84"/>
  <c r="E89"/>
  <c r="E94"/>
  <c r="E101"/>
  <c r="F101" s="1"/>
  <c r="E108"/>
  <c r="I12"/>
  <c r="J12" s="1"/>
  <c r="F12"/>
  <c r="F94"/>
  <c r="I101"/>
  <c r="I68"/>
  <c r="J68" s="1"/>
  <c r="I10"/>
  <c r="I84"/>
  <c r="I29"/>
  <c r="J29" s="1"/>
  <c r="F29"/>
  <c r="F5"/>
  <c r="I31"/>
  <c r="J31" s="1"/>
  <c r="J108" l="1"/>
  <c r="F97"/>
  <c r="E96"/>
  <c r="F96" s="1"/>
  <c r="Z30"/>
  <c r="Y30"/>
  <c r="S30"/>
  <c r="AA30"/>
  <c r="X30"/>
  <c r="T30"/>
  <c r="U30"/>
  <c r="AB30"/>
  <c r="V30"/>
  <c r="W30"/>
  <c r="F66"/>
  <c r="D65"/>
  <c r="F65" s="1"/>
  <c r="U102"/>
  <c r="Z102"/>
  <c r="Y102"/>
  <c r="V102"/>
  <c r="AB102"/>
  <c r="AA102"/>
  <c r="X102"/>
  <c r="W102"/>
  <c r="S102"/>
  <c r="T102"/>
  <c r="G39"/>
  <c r="I40"/>
  <c r="J40" s="1"/>
  <c r="AA72"/>
  <c r="W72"/>
  <c r="AB72"/>
  <c r="X72"/>
  <c r="S72"/>
  <c r="T72"/>
  <c r="U72"/>
  <c r="Z72"/>
  <c r="Y72"/>
  <c r="V72"/>
  <c r="H96"/>
  <c r="I96" s="1"/>
  <c r="I97"/>
  <c r="J97" s="1"/>
  <c r="AB70"/>
  <c r="U70"/>
  <c r="X70"/>
  <c r="V70"/>
  <c r="W70"/>
  <c r="AA70"/>
  <c r="Z70"/>
  <c r="Y70"/>
  <c r="S70"/>
  <c r="T70"/>
  <c r="AA32"/>
  <c r="X32"/>
  <c r="U32"/>
  <c r="V32"/>
  <c r="W32"/>
  <c r="S32"/>
  <c r="AB32"/>
  <c r="Z32"/>
  <c r="Y32"/>
  <c r="T32"/>
  <c r="D21"/>
  <c r="F21" s="1"/>
  <c r="F22"/>
  <c r="Z13"/>
  <c r="Y13"/>
  <c r="W13"/>
  <c r="AA13"/>
  <c r="X13"/>
  <c r="S13"/>
  <c r="T13"/>
  <c r="AB13"/>
  <c r="U13"/>
  <c r="V13"/>
  <c r="F44"/>
  <c r="D43"/>
  <c r="AA110"/>
  <c r="Z110"/>
  <c r="Y110"/>
  <c r="V110"/>
  <c r="AB110"/>
  <c r="W110"/>
  <c r="S110"/>
  <c r="X110"/>
  <c r="T110"/>
  <c r="U110"/>
  <c r="F57"/>
  <c r="D51"/>
  <c r="F51" s="1"/>
  <c r="J51" s="1"/>
  <c r="D84"/>
  <c r="F84" s="1"/>
  <c r="F85"/>
  <c r="J85" s="1"/>
  <c r="X74"/>
  <c r="T74"/>
  <c r="U74"/>
  <c r="AB74"/>
  <c r="Z74"/>
  <c r="Y74"/>
  <c r="V74"/>
  <c r="AA74"/>
  <c r="W74"/>
  <c r="S74"/>
  <c r="J84"/>
  <c r="E111"/>
  <c r="J65"/>
  <c r="J57"/>
  <c r="J90"/>
  <c r="J33"/>
  <c r="F43"/>
  <c r="AB62"/>
  <c r="W62"/>
  <c r="AA62"/>
  <c r="Z62"/>
  <c r="Y62"/>
  <c r="X62"/>
  <c r="S62"/>
  <c r="T62"/>
  <c r="U62"/>
  <c r="V62"/>
  <c r="G21"/>
  <c r="I21" s="1"/>
  <c r="J21" s="1"/>
  <c r="I22"/>
  <c r="J22" s="1"/>
  <c r="S95"/>
  <c r="AB95"/>
  <c r="T95"/>
  <c r="U95"/>
  <c r="Z95"/>
  <c r="Y95"/>
  <c r="V95"/>
  <c r="AA95"/>
  <c r="X95"/>
  <c r="W95"/>
  <c r="F90"/>
  <c r="D89"/>
  <c r="F89" s="1"/>
  <c r="AB83"/>
  <c r="AA83"/>
  <c r="S83"/>
  <c r="T83"/>
  <c r="U83"/>
  <c r="V83"/>
  <c r="Z83"/>
  <c r="Y83"/>
  <c r="X83"/>
  <c r="W83"/>
  <c r="D39"/>
  <c r="F39" s="1"/>
  <c r="F40"/>
  <c r="H111"/>
  <c r="J61"/>
  <c r="F103"/>
  <c r="J103" s="1"/>
  <c r="J52"/>
  <c r="J14"/>
  <c r="AA93"/>
  <c r="Z93"/>
  <c r="Y93"/>
  <c r="W93"/>
  <c r="X93"/>
  <c r="S93"/>
  <c r="T93"/>
  <c r="AB93"/>
  <c r="U93"/>
  <c r="V93"/>
  <c r="T69"/>
  <c r="U69"/>
  <c r="X69"/>
  <c r="V69"/>
  <c r="W69"/>
  <c r="AB69"/>
  <c r="AA69"/>
  <c r="Z69"/>
  <c r="Y69"/>
  <c r="S69"/>
  <c r="U11"/>
  <c r="V11"/>
  <c r="Z11"/>
  <c r="Y11"/>
  <c r="AA11"/>
  <c r="X11"/>
  <c r="W11"/>
  <c r="S11"/>
  <c r="AB11"/>
  <c r="T11"/>
  <c r="F75"/>
  <c r="J75" s="1"/>
  <c r="D73"/>
  <c r="F73" s="1"/>
  <c r="J73" s="1"/>
  <c r="J101"/>
  <c r="J89"/>
  <c r="J71"/>
  <c r="J66"/>
  <c r="AB109"/>
  <c r="S109"/>
  <c r="AA109"/>
  <c r="Z109"/>
  <c r="Y109"/>
  <c r="T109"/>
  <c r="U109"/>
  <c r="V109"/>
  <c r="X109"/>
  <c r="W109"/>
  <c r="S79"/>
  <c r="AA79"/>
  <c r="Z79"/>
  <c r="Y79"/>
  <c r="T79"/>
  <c r="AB79"/>
  <c r="U79"/>
  <c r="V79"/>
  <c r="X79"/>
  <c r="W79"/>
  <c r="AB63"/>
  <c r="U63"/>
  <c r="AA63"/>
  <c r="Z63"/>
  <c r="Y63"/>
  <c r="X63"/>
  <c r="V63"/>
  <c r="S63"/>
  <c r="T63"/>
  <c r="W63"/>
  <c r="V6"/>
  <c r="W6"/>
  <c r="AB6"/>
  <c r="S6"/>
  <c r="Z6"/>
  <c r="Y6"/>
  <c r="X6"/>
  <c r="T6"/>
  <c r="AA6"/>
  <c r="U6"/>
  <c r="I44"/>
  <c r="J44" s="1"/>
  <c r="G43"/>
  <c r="I43" s="1"/>
  <c r="J43" s="1"/>
  <c r="I39"/>
  <c r="I5"/>
  <c r="J5" s="1"/>
  <c r="F10"/>
  <c r="J10" s="1"/>
  <c r="I41"/>
  <c r="J41" s="1"/>
  <c r="AB75" l="1"/>
  <c r="T75"/>
  <c r="U75"/>
  <c r="Z75"/>
  <c r="Y75"/>
  <c r="V75"/>
  <c r="AA75"/>
  <c r="W75"/>
  <c r="X75"/>
  <c r="S75"/>
  <c r="W85"/>
  <c r="AB85"/>
  <c r="S85"/>
  <c r="Z85"/>
  <c r="Y85"/>
  <c r="X85"/>
  <c r="T85"/>
  <c r="AA85"/>
  <c r="U85"/>
  <c r="V85"/>
  <c r="V103"/>
  <c r="AA103"/>
  <c r="Z103"/>
  <c r="Y103"/>
  <c r="W103"/>
  <c r="S103"/>
  <c r="T103"/>
  <c r="AB103"/>
  <c r="X103"/>
  <c r="U103"/>
  <c r="V33"/>
  <c r="W33"/>
  <c r="Z33"/>
  <c r="Y33"/>
  <c r="X33"/>
  <c r="S33"/>
  <c r="AA33"/>
  <c r="T33"/>
  <c r="AB33"/>
  <c r="U33"/>
  <c r="W22"/>
  <c r="Z22"/>
  <c r="Y22"/>
  <c r="S22"/>
  <c r="AA22"/>
  <c r="T22"/>
  <c r="AB22"/>
  <c r="U22"/>
  <c r="V22"/>
  <c r="X22"/>
  <c r="J39"/>
  <c r="T44"/>
  <c r="U44"/>
  <c r="Z44"/>
  <c r="V44"/>
  <c r="AB44"/>
  <c r="W44"/>
  <c r="AA44"/>
  <c r="Y44"/>
  <c r="X44"/>
  <c r="S44"/>
  <c r="AB66"/>
  <c r="S66"/>
  <c r="Z66"/>
  <c r="Y66"/>
  <c r="X66"/>
  <c r="T66"/>
  <c r="AA66"/>
  <c r="U66"/>
  <c r="V66"/>
  <c r="W66"/>
  <c r="AB52"/>
  <c r="Z52"/>
  <c r="Y52"/>
  <c r="AA52"/>
  <c r="W52"/>
  <c r="S52"/>
  <c r="X52"/>
  <c r="T52"/>
  <c r="T111" s="1"/>
  <c r="U52"/>
  <c r="V52"/>
  <c r="AB14"/>
  <c r="AB111" s="1"/>
  <c r="Z14"/>
  <c r="Z111" s="1"/>
  <c r="Y14"/>
  <c r="Y111" s="1"/>
  <c r="S14"/>
  <c r="S111" s="1"/>
  <c r="AA14"/>
  <c r="AA111" s="1"/>
  <c r="T14"/>
  <c r="U14"/>
  <c r="U111" s="1"/>
  <c r="X14"/>
  <c r="V14"/>
  <c r="V111" s="1"/>
  <c r="W14"/>
  <c r="W111" s="1"/>
  <c r="D111"/>
  <c r="F111" s="1"/>
  <c r="J96"/>
  <c r="S57"/>
  <c r="AA57"/>
  <c r="Z57"/>
  <c r="Y57"/>
  <c r="T57"/>
  <c r="U57"/>
  <c r="V57"/>
  <c r="AB57"/>
  <c r="X57"/>
  <c r="X111" s="1"/>
  <c r="W57"/>
  <c r="X97"/>
  <c r="S97"/>
  <c r="AB97"/>
  <c r="T97"/>
  <c r="U97"/>
  <c r="V97"/>
  <c r="AA97"/>
  <c r="Z97"/>
  <c r="Y97"/>
  <c r="W97"/>
  <c r="AB40"/>
  <c r="Z40"/>
  <c r="U40"/>
  <c r="AA40"/>
  <c r="X40"/>
  <c r="V40"/>
  <c r="W40"/>
  <c r="S40"/>
  <c r="Y40"/>
  <c r="T40"/>
  <c r="G111"/>
  <c r="I111" s="1"/>
  <c r="J111" s="1"/>
  <c r="AB71"/>
  <c r="Z71"/>
  <c r="Y71"/>
  <c r="V71"/>
  <c r="AA71"/>
  <c r="W71"/>
  <c r="X71"/>
  <c r="S71"/>
  <c r="T71"/>
  <c r="U71"/>
  <c r="Z90"/>
  <c r="Y90"/>
  <c r="T90"/>
  <c r="AA90"/>
  <c r="U90"/>
  <c r="V90"/>
  <c r="AB90"/>
  <c r="X90"/>
  <c r="W90"/>
  <c r="S90"/>
</calcChain>
</file>

<file path=xl/sharedStrings.xml><?xml version="1.0" encoding="utf-8"?>
<sst xmlns="http://schemas.openxmlformats.org/spreadsheetml/2006/main" count="216" uniqueCount="140">
  <si>
    <t>Розробка схем планування та забудови територій (містобудівної документації)</t>
  </si>
  <si>
    <t>Комплексна програма надання житлових кредитів окремим категоріям громадян у Львівській області на 2018-2020 роки</t>
  </si>
  <si>
    <t>Надання кредиту (надання пільгового довгострокового кредиту молодим сім′ям та одиноким молодим громадянам на будівництво/придбання житла)</t>
  </si>
  <si>
    <t>Надання кредиту (надання довгострокового кредиту індивідуальним забудовникам житла на селі)</t>
  </si>
  <si>
    <t>Програма розвитку освіти Львівщини на 2017-2020 роки</t>
  </si>
  <si>
    <t>Гол. розпорядник</t>
  </si>
  <si>
    <t>21</t>
  </si>
  <si>
    <t>Програма "Питна вода" на                                    2012-2020 роки у Львівській області</t>
  </si>
  <si>
    <t>Комплексна програма підтримки та розвитку агропромислового виробництва у Львівській області на 2016-2020 роки</t>
  </si>
  <si>
    <t>Програма енергозбереження для населення Львівщини на 2017-2020 роки</t>
  </si>
  <si>
    <t>Програма енергозбереження для бюджетної сфери Львівщини на 2016-2020 роки</t>
  </si>
  <si>
    <t>Департамент соціального захисту населення</t>
  </si>
  <si>
    <t>Разом</t>
  </si>
  <si>
    <t>Загальний фонд</t>
  </si>
  <si>
    <t>13</t>
  </si>
  <si>
    <t>Департамент фінансів</t>
  </si>
  <si>
    <t>Спеціальний фонд</t>
  </si>
  <si>
    <t>Департамент екології та природних ресурсів</t>
  </si>
  <si>
    <t>Департамент з питань цивільного захисту</t>
  </si>
  <si>
    <t>Найменування програми</t>
  </si>
  <si>
    <t>№ з/п</t>
  </si>
  <si>
    <t>План</t>
  </si>
  <si>
    <t>Факт</t>
  </si>
  <si>
    <t>Відсоток виконання</t>
  </si>
  <si>
    <t>Департамент охорони здоров'я</t>
  </si>
  <si>
    <t>6</t>
  </si>
  <si>
    <t>8</t>
  </si>
  <si>
    <t xml:space="preserve">Інші заходи, пов'язані з економічною діяльністю </t>
  </si>
  <si>
    <t>12</t>
  </si>
  <si>
    <t>14</t>
  </si>
  <si>
    <t>17</t>
  </si>
  <si>
    <t>18</t>
  </si>
  <si>
    <t>тис. грн.</t>
  </si>
  <si>
    <t>Департамент з питань культури, національностей та релігій</t>
  </si>
  <si>
    <t>Львівська обласна державна адміністрація</t>
  </si>
  <si>
    <t>Департамент агропромислового розвитку</t>
  </si>
  <si>
    <t>20</t>
  </si>
  <si>
    <t>23</t>
  </si>
  <si>
    <t>24</t>
  </si>
  <si>
    <t>25</t>
  </si>
  <si>
    <t>27</t>
  </si>
  <si>
    <t>30</t>
  </si>
  <si>
    <t>к-ість програм 0</t>
  </si>
  <si>
    <t>к-ість програм &lt;30%</t>
  </si>
  <si>
    <t>к-ість програм 30-70%</t>
  </si>
  <si>
    <t>к-ість програм &gt;70% та &lt;100</t>
  </si>
  <si>
    <t>к-ість програм 100%</t>
  </si>
  <si>
    <t>сума фінансув 0</t>
  </si>
  <si>
    <t>сума &lt; 30%</t>
  </si>
  <si>
    <t>сума 30-70%</t>
  </si>
  <si>
    <t>сума &gt; 70% та &lt;100</t>
  </si>
  <si>
    <t>сума 100%</t>
  </si>
  <si>
    <t>Служба у справах дітей</t>
  </si>
  <si>
    <t>Управління фізичної культури та спорту</t>
  </si>
  <si>
    <t>Департамент внутрішньої та інформаційної політики</t>
  </si>
  <si>
    <t>Обласна програма "Молодь Львівщини" на 2016-2020 роки</t>
  </si>
  <si>
    <t>Програма відновлення, збереження національної пам"яті та протокольних заходів у Львівській області</t>
  </si>
  <si>
    <t>Департамент економічної політики</t>
  </si>
  <si>
    <t>Програма підвищення конкурентоспроможності Львівської області</t>
  </si>
  <si>
    <t>Департамент паливно-енергетичного комплексу та енергозбереження</t>
  </si>
  <si>
    <t>Департамент міжнародної технічної допомоги та міжнародного співробітництва</t>
  </si>
  <si>
    <t>Департамент архітектури та розвитку містобудування</t>
  </si>
  <si>
    <t>Департамент дорожнього господарства, транспорту та зв"язку</t>
  </si>
  <si>
    <t>Департамент розвитку та експлуатації житлово-комунального господарства</t>
  </si>
  <si>
    <t>Управління туризму та курортів</t>
  </si>
  <si>
    <t>Разом по програмі</t>
  </si>
  <si>
    <t>22</t>
  </si>
  <si>
    <t>Обласна рада</t>
  </si>
  <si>
    <t>Програма комплексного розвитку територій Львівської області на 2016-2020 роки:</t>
  </si>
  <si>
    <t>Програма охорони навколишнього природнього середовища на 2016-2020 роки</t>
  </si>
  <si>
    <t>Департамент освіти  і науки</t>
  </si>
  <si>
    <t>Програма зовнішнього освітлення населених пунктів Львівської області на 2017-2020 роки</t>
  </si>
  <si>
    <t>компенсаційні виплати за пільговий проїзд окремих категорій громадян на залізничному транспорті</t>
  </si>
  <si>
    <t>Програма підтримки органів виконавчої влади</t>
  </si>
  <si>
    <t>26</t>
  </si>
  <si>
    <t xml:space="preserve">Обласна рада </t>
  </si>
  <si>
    <t>Інші субвенції</t>
  </si>
  <si>
    <t>28</t>
  </si>
  <si>
    <t>Програма заходів для налагодження системи поводження з твердими побутовими відходами у м. Львові на 2017-2019 роки</t>
  </si>
  <si>
    <t>Регіональна програма сприяння розвитку інформаційного простору та громадянського суспільства у Львівській області на 2018-2020 роки, в тому числі</t>
  </si>
  <si>
    <t>Програма "Електронна Львівщина" на 2018-2020 роки</t>
  </si>
  <si>
    <t>Програма підтримки провоохоронних органів у Львівській області на 2018-2020 роки</t>
  </si>
  <si>
    <t>Департамент освіти і науки</t>
  </si>
  <si>
    <t>Надання загальної середньої освіти спеціальними загальноосвітніми школами-інтернатами, школами та іншими навчальними закладами для дітей, які потребкють корекції фізичного та (або) розумового розвитку</t>
  </si>
  <si>
    <t>Підвищення кваліфікації, перепідготовка кадрів закладами післядипломної освіти</t>
  </si>
  <si>
    <t>Інші програми та заходи у сфері освіти</t>
  </si>
  <si>
    <t>Комплексна програма надання медичної допомоги мешканцям Львівської області у 2017-2020 роки:</t>
  </si>
  <si>
    <t>Надання медичної допомоги дорослому населенню</t>
  </si>
  <si>
    <t>Забезпечення дітей-інвалідів та дітей з важкими інтоксикаціями-медичними препаратами, виробами медичного призначення та дезіноксикаційною терапією</t>
  </si>
  <si>
    <t>Покращення медичної допомоги хворим з онкологічними захворюваннями</t>
  </si>
  <si>
    <t>Безпека пацієнтів та медичного персоналу в частині забезпечення належної технічної експлуатації ліфтів та забезпечення пожежної безпеки</t>
  </si>
  <si>
    <t>Співфінансування проектів міжнародної технічної допомоги</t>
  </si>
  <si>
    <t>Комплексна програма соціальної підтримки окремих категорій громадян Львівської області на 2018-2020 роки в частині:</t>
  </si>
  <si>
    <t>інші заходи у сфері соціального захисту і соціального забезпечення</t>
  </si>
  <si>
    <t>інші субвенції з місцевого бюджету</t>
  </si>
  <si>
    <t>Регіональна програма забезпечення житлом дітей - сиріт, дітей, позбавлених батьківського піклування та осіб з їх числа у Львівській області на 2018-2020 роки</t>
  </si>
  <si>
    <t>Комплексна програма розвитку культури Львівщини на 2018-2020 роки:</t>
  </si>
  <si>
    <t>Програма газифікації населених пунктів Львівської області на 2018-2020 роки</t>
  </si>
  <si>
    <t>Охорона і збереження культурної спадщини Львівської області на 2018-2020 роки</t>
  </si>
  <si>
    <t>Програма розвитку мережі та утримання автомобільних доріг, організації та безпеки дорожнього руху на 2018-2020 роки</t>
  </si>
  <si>
    <t>Фінансова підтримка кінематографії</t>
  </si>
  <si>
    <t>Інші заходи у сфері засобів масової інформації</t>
  </si>
  <si>
    <t>Фінансова підтримка засобів масової інформації</t>
  </si>
  <si>
    <t>Регіональна програма з міжнародного і транскордонного співробітництва, європейської інтеграції на 2018-2020 роки</t>
  </si>
  <si>
    <t>Пограма розвитку туризму, курортів і рекреації у Львівськой області на 2018-2020 роки</t>
  </si>
  <si>
    <t>Реалізація програм і заходів в галузі туризму та курортів</t>
  </si>
  <si>
    <t>Природоохоронні заходи за рахунок цільових фондів</t>
  </si>
  <si>
    <t>Обласна цільова програма розвитку лісового господарства Львівської області на 2017-2021 роки</t>
  </si>
  <si>
    <t>Збереження природно-заповідного фонду</t>
  </si>
  <si>
    <t>Комплексна програма цивільного захисту Львівської області та сприяння матеріально-технічному забезпеченню окремих військових формувань, дислокованих на території Львівської області, на 2018-2020 роки</t>
  </si>
  <si>
    <t>Заходи з організації рятування на водах</t>
  </si>
  <si>
    <t>Заходи із запобігання та ліквідації надзвичайних ситуацій та наслідків стихійного лиха</t>
  </si>
  <si>
    <t>Субвенція з місцевого бюджету державному бюджету на виконання програм соціально-економічного розвитку регіонів</t>
  </si>
  <si>
    <t>Програма проведення обласного конкурсу проектів місцевого розвитку у Львівській області на 2017-2020 роки</t>
  </si>
  <si>
    <t>3</t>
  </si>
  <si>
    <t>4</t>
  </si>
  <si>
    <t>5</t>
  </si>
  <si>
    <t>11</t>
  </si>
  <si>
    <t>15</t>
  </si>
  <si>
    <t>16</t>
  </si>
  <si>
    <t>19</t>
  </si>
  <si>
    <t>29</t>
  </si>
  <si>
    <t>31</t>
  </si>
  <si>
    <t>10</t>
  </si>
  <si>
    <t>Обласна програма "Спортивний майданчик" на 2017-2021 роки</t>
  </si>
  <si>
    <t>Розвиток служби екстренної медичної допомоги області</t>
  </si>
  <si>
    <t>Стан фінансування обласних програм у 2018 році</t>
  </si>
  <si>
    <t xml:space="preserve"> </t>
  </si>
  <si>
    <t>Субвенція з місцевих бюджетів за рахунок залишку коштів освітньої субвенції, що утворилася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</si>
  <si>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(створення інклюзивно-ресурсних центрів)</t>
  </si>
  <si>
    <t>32</t>
  </si>
  <si>
    <t>Інша діяльність у сфері екології та охорони природних ресурсів</t>
  </si>
  <si>
    <t>Будівництво інших об'єктів соціальної та виробничої інфраструктури комунальної власності (виготовлення та встановлення пам'ятних знаків на могилах загиблих під час АТО та Героїв Небесної Сотні)</t>
  </si>
  <si>
    <t>Управління капітального будівництва</t>
  </si>
  <si>
    <t>надання фінансової підтримки громадським організаціям осіб з інвалідністю і ветеранів, діяльність яких має соціальну спрямованість</t>
  </si>
  <si>
    <t>Комплексна програма соціальної підтримки у Львівській області учасників АТО(ООС) та їхніх родин, бійців-добровольців АТО, а також родин Героїв Небесної Сотні на 2018-2020 роки в частині:</t>
  </si>
  <si>
    <t>Інші субвенції з місцевого бюджету</t>
  </si>
  <si>
    <t>Інші субвенціїз місцевого бюджету</t>
  </si>
  <si>
    <t>Станом на 07.09.2018</t>
  </si>
  <si>
    <r>
      <t xml:space="preserve"> 2018 рік </t>
    </r>
    <r>
      <rPr>
        <sz val="14"/>
        <rFont val="Times New Roman"/>
        <family val="1"/>
        <charset val="204"/>
      </rPr>
      <t>(станом на 07.09.2018)</t>
    </r>
  </si>
</sst>
</file>

<file path=xl/styles.xml><?xml version="1.0" encoding="utf-8"?>
<styleSheet xmlns="http://schemas.openxmlformats.org/spreadsheetml/2006/main">
  <numFmts count="17">
    <numFmt numFmtId="172" formatCode="#,##0\ &quot;грн.&quot;;\-#,##0\ &quot;грн.&quot;"/>
    <numFmt numFmtId="178" formatCode="_-* #,##0.00\ &quot;грн.&quot;_-;\-* #,##0.00\ &quot;грн.&quot;_-;_-* &quot;-&quot;??\ &quot;грн.&quot;_-;_-@_-"/>
    <numFmt numFmtId="179" formatCode="_-* #,##0.00\ _г_р_н_._-;\-* #,##0.00\ _г_р_н_._-;_-* &quot;-&quot;??\ _г_р_н_._-;_-@_-"/>
    <numFmt numFmtId="180" formatCode="#,##0.0"/>
    <numFmt numFmtId="181" formatCode="0.0"/>
    <numFmt numFmtId="182" formatCode="_-* #,##0\ &quot;р.&quot;_-;\-* #,##0\ &quot;р.&quot;_-;_-* &quot;-&quot;\ &quot;р.&quot;_-;_-@_-"/>
    <numFmt numFmtId="183" formatCode="_-* #,##0\ _р_._-;\-* #,##0\ _р_._-;_-* &quot;-&quot;\ _р_._-;_-@_-"/>
    <numFmt numFmtId="184" formatCode="_-* #,##0.00\ &quot;р.&quot;_-;\-* #,##0.00\ &quot;р.&quot;_-;_-* &quot;-&quot;??\ &quot;р.&quot;_-;_-@_-"/>
    <numFmt numFmtId="185" formatCode="_-* #,##0.00\ _р_._-;\-* #,##0.00\ _р_._-;_-* &quot;-&quot;??\ _р_._-;_-@_-"/>
    <numFmt numFmtId="186" formatCode="_(&quot;$&quot;* #,##0_);_(&quot;$&quot;* \(#,##0\);_(&quot;$&quot;* &quot;-&quot;_);_(@_)"/>
    <numFmt numFmtId="187" formatCode="_(&quot;$&quot;* #,##0.00_);_(&quot;$&quot;* \(#,##0.00\);_(&quot;$&quot;* &quot;-&quot;??_);_(@_)"/>
    <numFmt numFmtId="188" formatCode="#,##0\ &quot;z?&quot;;[Red]\-#,##0\ &quot;z?&quot;"/>
    <numFmt numFmtId="189" formatCode="#,##0.00\ &quot;z?&quot;;[Red]\-#,##0.00\ &quot;z?&quot;"/>
    <numFmt numFmtId="190" formatCode="_-* #,##0\ _z_?_-;\-* #,##0\ _z_?_-;_-* &quot;-&quot;\ _z_?_-;_-@_-"/>
    <numFmt numFmtId="191" formatCode="_-* #,##0.00\ _z_?_-;\-* #,##0.00\ _z_?_-;_-* &quot;-&quot;??\ _z_?_-;_-@_-"/>
    <numFmt numFmtId="192" formatCode="#,##0.\-"/>
    <numFmt numFmtId="193" formatCode="#,##0_ ;\-#,##0\ "/>
  </numFmts>
  <fonts count="55">
    <font>
      <sz val="10"/>
      <name val="Arial Cyr"/>
      <charset val="204"/>
    </font>
    <font>
      <sz val="10"/>
      <name val="Arial Cyr"/>
      <charset val="204"/>
    </font>
    <font>
      <sz val="10"/>
      <name val="Helv"/>
    </font>
    <font>
      <sz val="1"/>
      <color indexed="8"/>
      <name val="Courier"/>
      <family val="3"/>
    </font>
    <font>
      <sz val="1"/>
      <color indexed="8"/>
      <name val="Courier"/>
      <family val="3"/>
    </font>
    <font>
      <sz val="10"/>
      <name val="Helv"/>
      <charset val="204"/>
    </font>
    <font>
      <b/>
      <sz val="1"/>
      <color indexed="8"/>
      <name val="Courier"/>
      <family val="3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3"/>
      <name val="Arial Cyr"/>
      <charset val="204"/>
    </font>
    <font>
      <sz val="13"/>
      <name val="Times New Roman Cyr"/>
      <charset val="204"/>
    </font>
    <font>
      <b/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"/>
      <color indexed="8"/>
      <name val="Courier"/>
    </font>
    <font>
      <sz val="1"/>
      <color indexed="8"/>
      <name val="Courier"/>
      <charset val="204"/>
    </font>
    <font>
      <sz val="10"/>
      <name val="Courier New"/>
      <family val="3"/>
      <charset val="204"/>
    </font>
    <font>
      <sz val="8"/>
      <name val="Arial Cyr"/>
      <charset val="204"/>
    </font>
    <font>
      <sz val="1"/>
      <color indexed="8"/>
      <name val="Courier"/>
    </font>
    <font>
      <sz val="1"/>
      <color indexed="8"/>
      <name val="Courier"/>
    </font>
    <font>
      <sz val="10"/>
      <color indexed="8"/>
      <name val="ARIAL"/>
      <charset val="1"/>
    </font>
    <font>
      <b/>
      <sz val="13"/>
      <name val="Arial Cyr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Arial Cyr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7">
    <xf numFmtId="0" fontId="0" fillId="0" borderId="0"/>
    <xf numFmtId="0" fontId="2" fillId="0" borderId="0"/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1">
      <protection locked="0"/>
    </xf>
    <xf numFmtId="0" fontId="3" fillId="0" borderId="1">
      <protection locked="0"/>
    </xf>
    <xf numFmtId="0" fontId="45" fillId="0" borderId="1">
      <protection locked="0"/>
    </xf>
    <xf numFmtId="0" fontId="44" fillId="0" borderId="0">
      <protection locked="0"/>
    </xf>
    <xf numFmtId="0" fontId="44" fillId="0" borderId="1">
      <protection locked="0"/>
    </xf>
    <xf numFmtId="0" fontId="44" fillId="0" borderId="0">
      <protection locked="0"/>
    </xf>
    <xf numFmtId="0" fontId="44" fillId="0" borderId="0">
      <protection locked="0"/>
    </xf>
    <xf numFmtId="0" fontId="5" fillId="0" borderId="0"/>
    <xf numFmtId="0" fontId="5" fillId="0" borderId="0"/>
    <xf numFmtId="0" fontId="2" fillId="0" borderId="0"/>
    <xf numFmtId="0" fontId="44" fillId="0" borderId="0">
      <protection locked="0"/>
    </xf>
    <xf numFmtId="0" fontId="44" fillId="0" borderId="1">
      <protection locked="0"/>
    </xf>
    <xf numFmtId="0" fontId="44" fillId="0" borderId="0">
      <protection locked="0"/>
    </xf>
    <xf numFmtId="0" fontId="44" fillId="0" borderId="0">
      <protection locked="0"/>
    </xf>
    <xf numFmtId="0" fontId="5" fillId="0" borderId="0"/>
    <xf numFmtId="0" fontId="48" fillId="0" borderId="0">
      <protection locked="0"/>
    </xf>
    <xf numFmtId="0" fontId="48" fillId="0" borderId="1">
      <protection locked="0"/>
    </xf>
    <xf numFmtId="0" fontId="48" fillId="0" borderId="0">
      <protection locked="0"/>
    </xf>
    <xf numFmtId="0" fontId="48" fillId="0" borderId="0">
      <protection locked="0"/>
    </xf>
    <xf numFmtId="0" fontId="49" fillId="0" borderId="0">
      <protection locked="0"/>
    </xf>
    <xf numFmtId="0" fontId="49" fillId="0" borderId="1">
      <protection locked="0"/>
    </xf>
    <xf numFmtId="0" fontId="49" fillId="0" borderId="0">
      <protection locked="0"/>
    </xf>
    <xf numFmtId="0" fontId="49" fillId="0" borderId="0">
      <protection locked="0"/>
    </xf>
    <xf numFmtId="0" fontId="5" fillId="0" borderId="0"/>
    <xf numFmtId="0" fontId="5" fillId="0" borderId="0"/>
    <xf numFmtId="0" fontId="5" fillId="0" borderId="0"/>
    <xf numFmtId="0" fontId="3" fillId="0" borderId="1">
      <protection locked="0"/>
    </xf>
    <xf numFmtId="0" fontId="4" fillId="0" borderId="0">
      <protection locked="0"/>
    </xf>
    <xf numFmtId="0" fontId="3" fillId="0" borderId="0">
      <protection locked="0"/>
    </xf>
    <xf numFmtId="0" fontId="45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45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45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45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4" fillId="0" borderId="1">
      <protection locked="0"/>
    </xf>
    <xf numFmtId="0" fontId="3" fillId="0" borderId="1">
      <protection locked="0"/>
    </xf>
    <xf numFmtId="0" fontId="45" fillId="0" borderId="1">
      <protection locked="0"/>
    </xf>
    <xf numFmtId="0" fontId="6" fillId="0" borderId="0">
      <protection locked="0"/>
    </xf>
    <xf numFmtId="0" fontId="6" fillId="0" borderId="0">
      <protection locked="0"/>
    </xf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188" fontId="7" fillId="0" borderId="0" applyFont="0" applyFill="0" applyBorder="0" applyAlignment="0" applyProtection="0"/>
    <xf numFmtId="189" fontId="7" fillId="0" borderId="0" applyFont="0" applyFill="0" applyBorder="0" applyAlignment="0" applyProtection="0"/>
    <xf numFmtId="9" fontId="8" fillId="0" borderId="0"/>
    <xf numFmtId="4" fontId="9" fillId="0" borderId="0" applyFill="0" applyBorder="0" applyProtection="0">
      <alignment horizontal="right"/>
    </xf>
    <xf numFmtId="3" fontId="9" fillId="0" borderId="0" applyFill="0" applyBorder="0" applyProtection="0"/>
    <xf numFmtId="4" fontId="9" fillId="0" borderId="0"/>
    <xf numFmtId="3" fontId="9" fillId="0" borderId="0"/>
    <xf numFmtId="183" fontId="10" fillId="0" borderId="0" applyFont="0" applyFill="0" applyBorder="0" applyAlignment="0" applyProtection="0"/>
    <xf numFmtId="185" fontId="10" fillId="0" borderId="0" applyFont="0" applyFill="0" applyBorder="0" applyAlignment="0" applyProtection="0"/>
    <xf numFmtId="182" fontId="10" fillId="0" borderId="0" applyFont="0" applyFill="0" applyBorder="0" applyAlignment="0" applyProtection="0"/>
    <xf numFmtId="184" fontId="10" fillId="0" borderId="0" applyFont="0" applyFill="0" applyBorder="0" applyAlignment="0" applyProtection="0"/>
    <xf numFmtId="16" fontId="8" fillId="0" borderId="0"/>
    <xf numFmtId="190" fontId="7" fillId="0" borderId="0" applyFont="0" applyFill="0" applyBorder="0" applyAlignment="0" applyProtection="0"/>
    <xf numFmtId="191" fontId="7" fillId="0" borderId="0" applyFont="0" applyFill="0" applyBorder="0" applyAlignment="0" applyProtection="0"/>
    <xf numFmtId="192" fontId="11" fillId="16" borderId="0"/>
    <xf numFmtId="0" fontId="12" fillId="17" borderId="0"/>
    <xf numFmtId="192" fontId="13" fillId="0" borderId="0"/>
    <xf numFmtId="0" fontId="7" fillId="0" borderId="0"/>
    <xf numFmtId="10" fontId="9" fillId="18" borderId="0" applyFill="0" applyBorder="0" applyProtection="0">
      <alignment horizontal="center"/>
    </xf>
    <xf numFmtId="10" fontId="9" fillId="0" borderId="0"/>
    <xf numFmtId="10" fontId="14" fillId="18" borderId="0" applyFill="0" applyBorder="0" applyProtection="0">
      <alignment horizontal="center"/>
    </xf>
    <xf numFmtId="0" fontId="9" fillId="0" borderId="0"/>
    <xf numFmtId="0" fontId="10" fillId="0" borderId="0"/>
    <xf numFmtId="0" fontId="2" fillId="0" borderId="0"/>
    <xf numFmtId="0" fontId="7" fillId="0" borderId="0"/>
    <xf numFmtId="38" fontId="7" fillId="0" borderId="0" applyFont="0" applyFill="0" applyBorder="0" applyAlignment="0" applyProtection="0"/>
    <xf numFmtId="40" fontId="7" fillId="0" borderId="0" applyFont="0" applyFill="0" applyBorder="0" applyAlignment="0" applyProtection="0"/>
    <xf numFmtId="10" fontId="8" fillId="0" borderId="0">
      <alignment horizontal="center"/>
    </xf>
    <xf numFmtId="0" fontId="15" fillId="18" borderId="0"/>
    <xf numFmtId="186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22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22" borderId="0" applyNumberFormat="0" applyBorder="0" applyAlignment="0" applyProtection="0"/>
    <xf numFmtId="0" fontId="19" fillId="7" borderId="2" applyNumberFormat="0" applyAlignment="0" applyProtection="0"/>
    <xf numFmtId="0" fontId="19" fillId="7" borderId="2" applyNumberFormat="0" applyAlignment="0" applyProtection="0"/>
    <xf numFmtId="0" fontId="31" fillId="18" borderId="3" applyNumberFormat="0" applyAlignment="0" applyProtection="0"/>
    <xf numFmtId="0" fontId="28" fillId="18" borderId="2" applyNumberFormat="0" applyAlignment="0" applyProtection="0"/>
    <xf numFmtId="0" fontId="20" fillId="4" borderId="0" applyNumberFormat="0" applyBorder="0" applyAlignment="0" applyProtection="0"/>
    <xf numFmtId="178" fontId="1" fillId="0" borderId="0" applyFont="0" applyFill="0" applyBorder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50" fillId="0" borderId="0">
      <alignment vertical="top"/>
    </xf>
    <xf numFmtId="0" fontId="24" fillId="0" borderId="7" applyNumberFormat="0" applyFill="0" applyAlignment="0" applyProtection="0"/>
    <xf numFmtId="0" fontId="29" fillId="0" borderId="8" applyNumberFormat="0" applyFill="0" applyAlignment="0" applyProtection="0"/>
    <xf numFmtId="0" fontId="25" fillId="23" borderId="9" applyNumberFormat="0" applyAlignment="0" applyProtection="0"/>
    <xf numFmtId="0" fontId="25" fillId="23" borderId="9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24" borderId="0" applyNumberFormat="0" applyBorder="0" applyAlignment="0" applyProtection="0"/>
    <xf numFmtId="0" fontId="27" fillId="24" borderId="0" applyNumberFormat="0" applyBorder="0" applyAlignment="0" applyProtection="0"/>
    <xf numFmtId="0" fontId="28" fillId="18" borderId="2" applyNumberFormat="0" applyAlignment="0" applyProtection="0"/>
    <xf numFmtId="0" fontId="1" fillId="0" borderId="0"/>
    <xf numFmtId="0" fontId="35" fillId="0" borderId="0"/>
    <xf numFmtId="0" fontId="29" fillId="0" borderId="8" applyNumberFormat="0" applyFill="0" applyAlignment="0" applyProtection="0"/>
    <xf numFmtId="0" fontId="30" fillId="3" borderId="0" applyNumberFormat="0" applyBorder="0" applyAlignment="0" applyProtection="0"/>
    <xf numFmtId="0" fontId="30" fillId="3" borderId="0" applyNumberFormat="0" applyBorder="0" applyAlignment="0" applyProtection="0"/>
    <xf numFmtId="0" fontId="33" fillId="0" borderId="0" applyNumberFormat="0" applyFill="0" applyBorder="0" applyAlignment="0" applyProtection="0"/>
    <xf numFmtId="0" fontId="1" fillId="25" borderId="10" applyNumberFormat="0" applyFont="0" applyAlignment="0" applyProtection="0"/>
    <xf numFmtId="0" fontId="17" fillId="25" borderId="10" applyNumberFormat="0" applyFont="0" applyAlignment="0" applyProtection="0"/>
    <xf numFmtId="0" fontId="31" fillId="18" borderId="3" applyNumberFormat="0" applyAlignment="0" applyProtection="0"/>
    <xf numFmtId="0" fontId="24" fillId="0" borderId="7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183" fontId="34" fillId="0" borderId="0" applyFont="0" applyFill="0" applyBorder="0" applyAlignment="0" applyProtection="0"/>
    <xf numFmtId="185" fontId="34" fillId="0" borderId="0" applyFont="0" applyFill="0" applyBorder="0" applyAlignment="0" applyProtection="0"/>
    <xf numFmtId="179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0" fontId="20" fillId="4" borderId="0" applyNumberFormat="0" applyBorder="0" applyAlignment="0" applyProtection="0"/>
    <xf numFmtId="0" fontId="3" fillId="0" borderId="0">
      <protection locked="0"/>
    </xf>
  </cellStyleXfs>
  <cellXfs count="85">
    <xf numFmtId="0" fontId="0" fillId="0" borderId="0" xfId="0"/>
    <xf numFmtId="181" fontId="53" fillId="0" borderId="13" xfId="0" applyNumberFormat="1" applyFont="1" applyFill="1" applyBorder="1" applyAlignment="1">
      <alignment horizontal="center" vertical="center" wrapText="1"/>
    </xf>
    <xf numFmtId="0" fontId="35" fillId="0" borderId="0" xfId="0" applyFont="1"/>
    <xf numFmtId="180" fontId="16" fillId="0" borderId="11" xfId="0" applyNumberFormat="1" applyFont="1" applyFill="1" applyBorder="1" applyAlignment="1">
      <alignment horizontal="center" vertical="center" wrapText="1"/>
    </xf>
    <xf numFmtId="0" fontId="38" fillId="0" borderId="0" xfId="0" applyFont="1"/>
    <xf numFmtId="0" fontId="39" fillId="0" borderId="0" xfId="0" applyFont="1" applyFill="1"/>
    <xf numFmtId="0" fontId="38" fillId="0" borderId="0" xfId="0" applyFont="1" applyFill="1"/>
    <xf numFmtId="0" fontId="35" fillId="0" borderId="0" xfId="0" applyFont="1" applyFill="1"/>
    <xf numFmtId="0" fontId="0" fillId="0" borderId="0" xfId="0" applyFill="1"/>
    <xf numFmtId="0" fontId="40" fillId="0" borderId="11" xfId="0" applyFont="1" applyFill="1" applyBorder="1" applyAlignment="1">
      <alignment horizontal="center" vertical="center" wrapText="1"/>
    </xf>
    <xf numFmtId="0" fontId="39" fillId="0" borderId="0" xfId="0" applyFont="1" applyFill="1" applyAlignment="1">
      <alignment horizontal="justify" vertical="justify"/>
    </xf>
    <xf numFmtId="0" fontId="51" fillId="0" borderId="0" xfId="0" applyFont="1" applyFill="1"/>
    <xf numFmtId="180" fontId="39" fillId="0" borderId="0" xfId="0" applyNumberFormat="1" applyFont="1" applyFill="1"/>
    <xf numFmtId="0" fontId="16" fillId="0" borderId="0" xfId="0" applyFont="1" applyFill="1"/>
    <xf numFmtId="0" fontId="39" fillId="0" borderId="12" xfId="0" applyFont="1" applyFill="1" applyBorder="1"/>
    <xf numFmtId="0" fontId="39" fillId="0" borderId="0" xfId="0" applyFont="1" applyFill="1" applyBorder="1"/>
    <xf numFmtId="0" fontId="43" fillId="0" borderId="0" xfId="0" applyFont="1" applyFill="1"/>
    <xf numFmtId="4" fontId="43" fillId="0" borderId="0" xfId="0" applyNumberFormat="1" applyFont="1" applyFill="1"/>
    <xf numFmtId="0" fontId="43" fillId="0" borderId="0" xfId="0" applyFont="1" applyFill="1" applyAlignment="1">
      <alignment horizontal="center"/>
    </xf>
    <xf numFmtId="0" fontId="0" fillId="0" borderId="0" xfId="0" applyFill="1" applyBorder="1"/>
    <xf numFmtId="181" fontId="0" fillId="0" borderId="0" xfId="0" applyNumberFormat="1" applyFill="1" applyBorder="1"/>
    <xf numFmtId="0" fontId="35" fillId="0" borderId="0" xfId="0" applyFont="1" applyBorder="1"/>
    <xf numFmtId="0" fontId="36" fillId="26" borderId="0" xfId="0" applyFont="1" applyFill="1" applyBorder="1" applyAlignment="1">
      <alignment horizontal="center"/>
    </xf>
    <xf numFmtId="180" fontId="12" fillId="0" borderId="11" xfId="0" applyNumberFormat="1" applyFont="1" applyFill="1" applyBorder="1" applyAlignment="1">
      <alignment horizontal="center" vertical="center" wrapText="1"/>
    </xf>
    <xf numFmtId="180" fontId="52" fillId="0" borderId="11" xfId="0" applyNumberFormat="1" applyFont="1" applyFill="1" applyBorder="1" applyAlignment="1">
      <alignment horizontal="center" vertical="center" wrapText="1"/>
    </xf>
    <xf numFmtId="180" fontId="13" fillId="0" borderId="11" xfId="0" applyNumberFormat="1" applyFont="1" applyFill="1" applyBorder="1" applyAlignment="1">
      <alignment horizontal="center" vertical="center" wrapText="1"/>
    </xf>
    <xf numFmtId="180" fontId="37" fillId="0" borderId="11" xfId="0" applyNumberFormat="1" applyFont="1" applyFill="1" applyBorder="1" applyAlignment="1">
      <alignment horizontal="center" vertical="center" wrapText="1"/>
    </xf>
    <xf numFmtId="180" fontId="42" fillId="0" borderId="11" xfId="0" applyNumberFormat="1" applyFont="1" applyFill="1" applyBorder="1" applyAlignment="1">
      <alignment horizontal="center" vertical="center" wrapText="1"/>
    </xf>
    <xf numFmtId="180" fontId="12" fillId="0" borderId="11" xfId="0" applyNumberFormat="1" applyFont="1" applyFill="1" applyBorder="1" applyAlignment="1">
      <alignment horizontal="center" vertical="center"/>
    </xf>
    <xf numFmtId="180" fontId="13" fillId="0" borderId="11" xfId="0" applyNumberFormat="1" applyFont="1" applyFill="1" applyBorder="1" applyAlignment="1">
      <alignment horizontal="center" vertical="center"/>
    </xf>
    <xf numFmtId="180" fontId="37" fillId="0" borderId="11" xfId="0" applyNumberFormat="1" applyFont="1" applyFill="1" applyBorder="1" applyAlignment="1">
      <alignment horizontal="center" vertical="center"/>
    </xf>
    <xf numFmtId="180" fontId="42" fillId="0" borderId="11" xfId="0" applyNumberFormat="1" applyFont="1" applyFill="1" applyBorder="1" applyAlignment="1">
      <alignment horizontal="center" vertical="center"/>
    </xf>
    <xf numFmtId="180" fontId="52" fillId="0" borderId="11" xfId="0" applyNumberFormat="1" applyFont="1" applyFill="1" applyBorder="1" applyAlignment="1">
      <alignment horizontal="center" vertical="center"/>
    </xf>
    <xf numFmtId="0" fontId="37" fillId="0" borderId="0" xfId="0" applyFont="1" applyBorder="1" applyAlignment="1">
      <alignment horizontal="center"/>
    </xf>
    <xf numFmtId="0" fontId="13" fillId="0" borderId="11" xfId="0" applyFont="1" applyFill="1" applyBorder="1" applyAlignment="1">
      <alignment horizontal="center" vertical="center" wrapText="1"/>
    </xf>
    <xf numFmtId="0" fontId="42" fillId="0" borderId="11" xfId="0" applyFont="1" applyFill="1" applyBorder="1" applyAlignment="1">
      <alignment horizontal="center" vertical="center" wrapText="1"/>
    </xf>
    <xf numFmtId="4" fontId="53" fillId="0" borderId="11" xfId="0" applyNumberFormat="1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53" fillId="0" borderId="11" xfId="0" applyFont="1" applyFill="1" applyBorder="1" applyAlignment="1">
      <alignment horizontal="center" vertical="center" wrapText="1"/>
    </xf>
    <xf numFmtId="49" fontId="42" fillId="0" borderId="11" xfId="0" applyNumberFormat="1" applyFont="1" applyFill="1" applyBorder="1" applyAlignment="1">
      <alignment horizontal="center" vertical="center"/>
    </xf>
    <xf numFmtId="49" fontId="13" fillId="0" borderId="11" xfId="0" applyNumberFormat="1" applyFont="1" applyFill="1" applyBorder="1" applyAlignment="1">
      <alignment horizontal="center" vertical="center"/>
    </xf>
    <xf numFmtId="4" fontId="13" fillId="0" borderId="11" xfId="0" applyNumberFormat="1" applyFont="1" applyFill="1" applyBorder="1" applyAlignment="1">
      <alignment horizontal="center" vertical="center" wrapText="1"/>
    </xf>
    <xf numFmtId="49" fontId="42" fillId="0" borderId="13" xfId="0" applyNumberFormat="1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 wrapText="1"/>
    </xf>
    <xf numFmtId="180" fontId="53" fillId="0" borderId="11" xfId="0" applyNumberFormat="1" applyFont="1" applyFill="1" applyBorder="1" applyAlignment="1">
      <alignment horizontal="center" vertical="center" wrapText="1"/>
    </xf>
    <xf numFmtId="3" fontId="42" fillId="0" borderId="11" xfId="0" applyNumberFormat="1" applyFont="1" applyFill="1" applyBorder="1" applyAlignment="1">
      <alignment horizontal="center" vertical="center" wrapText="1"/>
    </xf>
    <xf numFmtId="181" fontId="53" fillId="0" borderId="11" xfId="0" applyNumberFormat="1" applyFont="1" applyFill="1" applyBorder="1" applyAlignment="1">
      <alignment horizontal="center" vertical="center" wrapText="1"/>
    </xf>
    <xf numFmtId="181" fontId="13" fillId="0" borderId="11" xfId="0" applyNumberFormat="1" applyFont="1" applyFill="1" applyBorder="1" applyAlignment="1">
      <alignment horizontal="center" vertical="center" wrapText="1"/>
    </xf>
    <xf numFmtId="180" fontId="54" fillId="0" borderId="0" xfId="0" applyNumberFormat="1" applyFont="1" applyFill="1" applyAlignment="1">
      <alignment horizontal="center"/>
    </xf>
    <xf numFmtId="180" fontId="39" fillId="0" borderId="0" xfId="0" applyNumberFormat="1" applyFont="1" applyFill="1" applyAlignment="1">
      <alignment horizontal="justify" vertical="justify"/>
    </xf>
    <xf numFmtId="180" fontId="43" fillId="0" borderId="0" xfId="0" applyNumberFormat="1" applyFont="1" applyFill="1" applyAlignment="1">
      <alignment horizontal="center"/>
    </xf>
    <xf numFmtId="181" fontId="53" fillId="0" borderId="13" xfId="0" applyNumberFormat="1" applyFont="1" applyFill="1" applyBorder="1" applyAlignment="1">
      <alignment horizontal="center" vertical="center" wrapText="1"/>
    </xf>
    <xf numFmtId="181" fontId="53" fillId="0" borderId="15" xfId="0" applyNumberFormat="1" applyFont="1" applyFill="1" applyBorder="1" applyAlignment="1">
      <alignment horizontal="center" vertical="center" wrapText="1"/>
    </xf>
    <xf numFmtId="0" fontId="53" fillId="0" borderId="13" xfId="0" applyFont="1" applyFill="1" applyBorder="1" applyAlignment="1">
      <alignment horizontal="center" vertical="center" wrapText="1"/>
    </xf>
    <xf numFmtId="0" fontId="53" fillId="0" borderId="15" xfId="0" applyFont="1" applyFill="1" applyBorder="1" applyAlignment="1">
      <alignment horizontal="center" vertical="center" wrapText="1"/>
    </xf>
    <xf numFmtId="0" fontId="53" fillId="0" borderId="14" xfId="0" applyFont="1" applyFill="1" applyBorder="1" applyAlignment="1">
      <alignment horizontal="center" vertical="center" wrapText="1"/>
    </xf>
    <xf numFmtId="0" fontId="37" fillId="0" borderId="11" xfId="0" applyFont="1" applyFill="1" applyBorder="1" applyAlignment="1">
      <alignment horizontal="center" vertical="center" wrapText="1"/>
    </xf>
    <xf numFmtId="49" fontId="42" fillId="0" borderId="11" xfId="0" applyNumberFormat="1" applyFont="1" applyFill="1" applyBorder="1" applyAlignment="1">
      <alignment horizontal="center" vertical="center"/>
    </xf>
    <xf numFmtId="49" fontId="13" fillId="0" borderId="11" xfId="0" applyNumberFormat="1" applyFont="1" applyFill="1" applyBorder="1" applyAlignment="1">
      <alignment horizontal="center" vertical="center"/>
    </xf>
    <xf numFmtId="49" fontId="13" fillId="0" borderId="13" xfId="0" applyNumberFormat="1" applyFont="1" applyFill="1" applyBorder="1" applyAlignment="1">
      <alignment horizontal="center" vertical="center"/>
    </xf>
    <xf numFmtId="49" fontId="13" fillId="0" borderId="14" xfId="0" applyNumberFormat="1" applyFont="1" applyFill="1" applyBorder="1" applyAlignment="1">
      <alignment horizontal="center" vertical="center"/>
    </xf>
    <xf numFmtId="49" fontId="13" fillId="0" borderId="15" xfId="0" applyNumberFormat="1" applyFont="1" applyFill="1" applyBorder="1" applyAlignment="1">
      <alignment horizontal="center" vertical="center"/>
    </xf>
    <xf numFmtId="180" fontId="13" fillId="0" borderId="11" xfId="0" applyNumberFormat="1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180" fontId="37" fillId="0" borderId="11" xfId="0" applyNumberFormat="1" applyFont="1" applyFill="1" applyBorder="1" applyAlignment="1">
      <alignment horizontal="center" vertical="center" wrapText="1"/>
    </xf>
    <xf numFmtId="193" fontId="42" fillId="0" borderId="13" xfId="140" applyNumberFormat="1" applyFont="1" applyFill="1" applyBorder="1" applyAlignment="1">
      <alignment horizontal="center" vertical="center"/>
    </xf>
    <xf numFmtId="193" fontId="42" fillId="0" borderId="14" xfId="140" applyNumberFormat="1" applyFont="1" applyFill="1" applyBorder="1" applyAlignment="1">
      <alignment horizontal="center" vertical="center"/>
    </xf>
    <xf numFmtId="193" fontId="42" fillId="0" borderId="15" xfId="140" applyNumberFormat="1" applyFont="1" applyFill="1" applyBorder="1" applyAlignment="1">
      <alignment horizontal="center" vertical="center"/>
    </xf>
    <xf numFmtId="180" fontId="12" fillId="0" borderId="11" xfId="0" applyNumberFormat="1" applyFont="1" applyFill="1" applyBorder="1" applyAlignment="1">
      <alignment horizontal="center" vertical="center" wrapText="1"/>
    </xf>
    <xf numFmtId="49" fontId="12" fillId="0" borderId="11" xfId="0" applyNumberFormat="1" applyFont="1" applyFill="1" applyBorder="1" applyAlignment="1">
      <alignment horizontal="center" vertical="center"/>
    </xf>
    <xf numFmtId="181" fontId="53" fillId="0" borderId="14" xfId="0" applyNumberFormat="1" applyFont="1" applyFill="1" applyBorder="1" applyAlignment="1">
      <alignment horizontal="center" vertical="center" wrapText="1"/>
    </xf>
    <xf numFmtId="49" fontId="37" fillId="0" borderId="11" xfId="0" applyNumberFormat="1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42" fillId="0" borderId="11" xfId="0" applyFont="1" applyFill="1" applyBorder="1" applyAlignment="1">
      <alignment horizontal="center" vertical="center" wrapText="1"/>
    </xf>
    <xf numFmtId="4" fontId="53" fillId="0" borderId="11" xfId="0" applyNumberFormat="1" applyFont="1" applyFill="1" applyBorder="1" applyAlignment="1">
      <alignment horizontal="center" vertical="center" wrapText="1"/>
    </xf>
    <xf numFmtId="0" fontId="41" fillId="0" borderId="0" xfId="0" applyFont="1" applyBorder="1" applyAlignment="1">
      <alignment horizontal="center" vertical="center" wrapText="1"/>
    </xf>
    <xf numFmtId="0" fontId="13" fillId="0" borderId="16" xfId="0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/>
    </xf>
    <xf numFmtId="49" fontId="42" fillId="0" borderId="13" xfId="0" applyNumberFormat="1" applyFont="1" applyFill="1" applyBorder="1" applyAlignment="1">
      <alignment horizontal="center" vertical="center"/>
    </xf>
    <xf numFmtId="181" fontId="13" fillId="0" borderId="11" xfId="0" applyNumberFormat="1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</cellXfs>
  <cellStyles count="197">
    <cellStyle name="?’ЋѓЋ‚›‰" xfId="7"/>
    <cellStyle name="?’ЋѓЋ‚›‰ 2" xfId="8"/>
    <cellStyle name="?’ЋѓЋ‚›‰_320_dod_1-8" xfId="9"/>
    <cellStyle name="_Veresen_derg" xfId="14"/>
    <cellStyle name="_Вик01102002 держ" xfId="15"/>
    <cellStyle name="_доходи" xfId="16"/>
    <cellStyle name="_Книга1" xfId="21"/>
    <cellStyle name="_освіта 25.12.2015 дод 9  2016" xfId="30"/>
    <cellStyle name="_ПНП" xfId="31"/>
    <cellStyle name="_Прогноз ДМ по районах" xfId="32"/>
    <cellStyle name="”?ЌЂЌ‘Ћ‚›‰" xfId="34"/>
    <cellStyle name="”?ЌЂЌ‘Ћ‚›‰ 2" xfId="35"/>
    <cellStyle name="”?ЌЂЌ‘Ћ‚›‰_320_dod_1-8" xfId="36"/>
    <cellStyle name="”?Љ‘?ђЋ‚ЂЌЌ›‰" xfId="37"/>
    <cellStyle name="”?Љ‘?ђЋ‚ЂЌЌ›‰ 2" xfId="38"/>
    <cellStyle name="”?Љ‘?ђЋ‚ЂЌЌ›‰_320_dod_1-8" xfId="39"/>
    <cellStyle name="”€ЌЂЌ‘Ћ‚›‰" xfId="40"/>
    <cellStyle name="”€ЌЂЌ‘Ћ‚›‰ 2" xfId="41"/>
    <cellStyle name="”€ЌЂЌ‘Ћ‚›‰_320_dod_1-8" xfId="42"/>
    <cellStyle name="”€Љ‘€ђЋ‚ЂЌЌ›‰" xfId="43"/>
    <cellStyle name="”€Љ‘€ђЋ‚ЂЌЌ›‰ 2" xfId="44"/>
    <cellStyle name="”€Љ‘€ђЋ‚ЂЌЌ›‰_320_dod_1-8" xfId="45"/>
    <cellStyle name="”ЌЂЌ‘Ћ‚›‰" xfId="46"/>
    <cellStyle name="”Љ‘ђЋ‚ЂЌЌ›‰" xfId="47"/>
    <cellStyle name="„…Ќ…†Ќ›‰" xfId="48"/>
    <cellStyle name="€’ЋѓЋ‚›‰" xfId="51"/>
    <cellStyle name="€’ЋѓЋ‚›‰ 2" xfId="52"/>
    <cellStyle name="€’ЋѓЋ‚›‰_320_dod_1-8" xfId="53"/>
    <cellStyle name="‡ЂѓЋ‹Ћ‚ЋЉ1" xfId="49"/>
    <cellStyle name="‡ЂѓЋ‹Ћ‚ЋЉ2" xfId="50"/>
    <cellStyle name="’ЋѓЋ‚›‰" xfId="33"/>
    <cellStyle name="" xfId="2"/>
    <cellStyle name="" xfId="3"/>
    <cellStyle name="_320_dod_1-8" xfId="10"/>
    <cellStyle name="_320_dod_1-8" xfId="11"/>
    <cellStyle name="_доходи" xfId="17"/>
    <cellStyle name="_доходи" xfId="18"/>
    <cellStyle name="_Лист1" xfId="22"/>
    <cellStyle name="_Лист1" xfId="23"/>
    <cellStyle name="_Лист1_1" xfId="26"/>
    <cellStyle name="_Лист1_1" xfId="27"/>
    <cellStyle name="" xfId="4"/>
    <cellStyle name="" xfId="5"/>
    <cellStyle name="_320_dod_1-8" xfId="12"/>
    <cellStyle name="_320_dod_1-8" xfId="13"/>
    <cellStyle name="_доходи" xfId="19"/>
    <cellStyle name="_доходи" xfId="20"/>
    <cellStyle name="_Лист1" xfId="24"/>
    <cellStyle name="_Лист1" xfId="25"/>
    <cellStyle name="_Лист1_1" xfId="28"/>
    <cellStyle name="_Лист1_1" xfId="29"/>
    <cellStyle name="" xfId="6"/>
    <cellStyle name="1" xfId="54"/>
    <cellStyle name="2" xfId="55"/>
    <cellStyle name="20% - Акцент1" xfId="56"/>
    <cellStyle name="20% - Акцент2" xfId="57"/>
    <cellStyle name="20% - Акцент3" xfId="58"/>
    <cellStyle name="20% - Акцент4" xfId="59"/>
    <cellStyle name="20% - Акцент5" xfId="60"/>
    <cellStyle name="20% - Акцент6" xfId="61"/>
    <cellStyle name="20% – Акцентування1" xfId="62" customBuiltin="1"/>
    <cellStyle name="20% – Акцентування2" xfId="63" customBuiltin="1"/>
    <cellStyle name="20% – Акцентування3" xfId="64" customBuiltin="1"/>
    <cellStyle name="20% – Акцентування4" xfId="65" customBuiltin="1"/>
    <cellStyle name="20% – Акцентування5" xfId="66" customBuiltin="1"/>
    <cellStyle name="20% – Акцентування6" xfId="67" customBuiltin="1"/>
    <cellStyle name="40% - Акцент1" xfId="68"/>
    <cellStyle name="40% - Акцент2" xfId="69"/>
    <cellStyle name="40% - Акцент3" xfId="70"/>
    <cellStyle name="40% - Акцент4" xfId="71"/>
    <cellStyle name="40% - Акцент5" xfId="72"/>
    <cellStyle name="40% - Акцент6" xfId="73"/>
    <cellStyle name="40% – Акцентування1" xfId="74" customBuiltin="1"/>
    <cellStyle name="40% – Акцентування2" xfId="75" customBuiltin="1"/>
    <cellStyle name="40% – Акцентування3" xfId="76" customBuiltin="1"/>
    <cellStyle name="40% – Акцентування4" xfId="77" customBuiltin="1"/>
    <cellStyle name="40% – Акцентування5" xfId="78" customBuiltin="1"/>
    <cellStyle name="40% – Акцентування6" xfId="79" customBuiltin="1"/>
    <cellStyle name="60% - Акцент1" xfId="80"/>
    <cellStyle name="60% - Акцент2" xfId="81"/>
    <cellStyle name="60% - Акцент3" xfId="82"/>
    <cellStyle name="60% - Акцент4" xfId="83"/>
    <cellStyle name="60% - Акцент5" xfId="84"/>
    <cellStyle name="60% - Акцент6" xfId="85"/>
    <cellStyle name="60% – Акцентування1" xfId="86" customBuiltin="1"/>
    <cellStyle name="60% – Акцентування2" xfId="87" customBuiltin="1"/>
    <cellStyle name="60% – Акцентування3" xfId="88" customBuiltin="1"/>
    <cellStyle name="60% – Акцентування4" xfId="89" customBuiltin="1"/>
    <cellStyle name="60% – Акцентування5" xfId="90" customBuiltin="1"/>
    <cellStyle name="60% – Акцентування6" xfId="91" customBuiltin="1"/>
    <cellStyle name="Aaia?iue [0]_laroux" xfId="92"/>
    <cellStyle name="Aaia?iue_laroux" xfId="93"/>
    <cellStyle name="C?O" xfId="94"/>
    <cellStyle name="Cena$" xfId="95"/>
    <cellStyle name="CenaZ?" xfId="96"/>
    <cellStyle name="Ceny$" xfId="97"/>
    <cellStyle name="CenyZ?" xfId="98"/>
    <cellStyle name="Comma [0]_1996-1997-план 10 місяців" xfId="99"/>
    <cellStyle name="Comma_1996-1997-план 10 місяців" xfId="100"/>
    <cellStyle name="Currency [0]_1996-1997-план 10 місяців" xfId="101"/>
    <cellStyle name="Currency_1996-1997-план 10 місяців" xfId="102"/>
    <cellStyle name="Data" xfId="103"/>
    <cellStyle name="Dziesietny [0]_Arkusz1" xfId="104"/>
    <cellStyle name="Dziesietny_Arkusz1" xfId="105"/>
    <cellStyle name="Headline I" xfId="106"/>
    <cellStyle name="Headline II" xfId="107"/>
    <cellStyle name="Headline III" xfId="108"/>
    <cellStyle name="Iau?iue_laroux" xfId="109"/>
    <cellStyle name="Marza" xfId="110"/>
    <cellStyle name="Marza%" xfId="111"/>
    <cellStyle name="Marza_Veresen_derg" xfId="112"/>
    <cellStyle name="Nazwa" xfId="113"/>
    <cellStyle name="Normal_1996-1997-план 10 місяців" xfId="114"/>
    <cellStyle name="normalni_laroux" xfId="115"/>
    <cellStyle name="Normalny_A-FOUR TECH" xfId="116"/>
    <cellStyle name="Oeiainiaue [0]_laroux" xfId="117"/>
    <cellStyle name="Oeiainiaue_laroux" xfId="118"/>
    <cellStyle name="TrOds" xfId="119"/>
    <cellStyle name="Tytul" xfId="120"/>
    <cellStyle name="Walutowy [0]_Arkusz1" xfId="121"/>
    <cellStyle name="Walutowy_Arkusz1" xfId="122"/>
    <cellStyle name="Акцент1" xfId="123"/>
    <cellStyle name="Акцент2" xfId="124"/>
    <cellStyle name="Акцент3" xfId="125"/>
    <cellStyle name="Акцент4" xfId="126"/>
    <cellStyle name="Акцент5" xfId="127"/>
    <cellStyle name="Акцент6" xfId="128"/>
    <cellStyle name="Акцентування1" xfId="129" customBuiltin="1"/>
    <cellStyle name="Акцентування2" xfId="130" customBuiltin="1"/>
    <cellStyle name="Акцентування3" xfId="131" customBuiltin="1"/>
    <cellStyle name="Акцентування4" xfId="132" customBuiltin="1"/>
    <cellStyle name="Акцентування5" xfId="133" customBuiltin="1"/>
    <cellStyle name="Акцентування6" xfId="134" customBuiltin="1"/>
    <cellStyle name="Ввід" xfId="135" customBuiltin="1"/>
    <cellStyle name="Ввод " xfId="136"/>
    <cellStyle name="Вывод" xfId="137"/>
    <cellStyle name="Вычисление" xfId="138"/>
    <cellStyle name="Гарний" xfId="139"/>
    <cellStyle name="Денежный" xfId="140" builtinId="4"/>
    <cellStyle name="Заголовок 1" xfId="141" builtinId="16" customBuiltin="1"/>
    <cellStyle name="Заголовок 2" xfId="142" builtinId="17" customBuiltin="1"/>
    <cellStyle name="Заголовок 3" xfId="143" builtinId="18" customBuiltin="1"/>
    <cellStyle name="Заголовок 4" xfId="144" builtinId="19" customBuiltin="1"/>
    <cellStyle name="Звичайний 10" xfId="145"/>
    <cellStyle name="Звичайний 11" xfId="146"/>
    <cellStyle name="Звичайний 12" xfId="147"/>
    <cellStyle name="Звичайний 13" xfId="148"/>
    <cellStyle name="Звичайний 14" xfId="149"/>
    <cellStyle name="Звичайний 15" xfId="150"/>
    <cellStyle name="Звичайний 16" xfId="151"/>
    <cellStyle name="Звичайний 17" xfId="152"/>
    <cellStyle name="Звичайний 18" xfId="153"/>
    <cellStyle name="Звичайний 19" xfId="154"/>
    <cellStyle name="Звичайний 2" xfId="155"/>
    <cellStyle name="Звичайний 2 2" xfId="156"/>
    <cellStyle name="Звичайний 2_13 Додаток ПТУ 1" xfId="157"/>
    <cellStyle name="Звичайний 20" xfId="158"/>
    <cellStyle name="Звичайний 3" xfId="159"/>
    <cellStyle name="Звичайний 4" xfId="160"/>
    <cellStyle name="Звичайний 4 2" xfId="161"/>
    <cellStyle name="Звичайний 4_13 Додаток ПТУ 1" xfId="162"/>
    <cellStyle name="Звичайний 5" xfId="163"/>
    <cellStyle name="Звичайний 6" xfId="164"/>
    <cellStyle name="Звичайний 7" xfId="165"/>
    <cellStyle name="Звичайний 8" xfId="166"/>
    <cellStyle name="Звичайний 9" xfId="167"/>
    <cellStyle name="Звичайний_Додаток _ 3 зм_ни 4575" xfId="168"/>
    <cellStyle name="Зв'язана клітинка" xfId="169" customBuiltin="1"/>
    <cellStyle name="Итог" xfId="170"/>
    <cellStyle name="Контрольна клітинка" xfId="171" customBuiltin="1"/>
    <cellStyle name="Контрольная ячейка" xfId="172"/>
    <cellStyle name="Назва" xfId="173" customBuiltin="1"/>
    <cellStyle name="Название" xfId="174"/>
    <cellStyle name="Нейтральний" xfId="175"/>
    <cellStyle name="Нейтральный" xfId="176"/>
    <cellStyle name="Обчислення" xfId="177" customBuiltin="1"/>
    <cellStyle name="Обычный" xfId="0" builtinId="0"/>
    <cellStyle name="Обычный 2" xfId="178"/>
    <cellStyle name="Обычный 2 2" xfId="179"/>
    <cellStyle name="Підсумок" xfId="180" customBuiltin="1"/>
    <cellStyle name="Плохой" xfId="181"/>
    <cellStyle name="Поганий" xfId="182" customBuiltin="1"/>
    <cellStyle name="Пояснение" xfId="183"/>
    <cellStyle name="Примечание" xfId="184"/>
    <cellStyle name="Примітка" xfId="185" customBuiltin="1"/>
    <cellStyle name="Результат" xfId="186" customBuiltin="1"/>
    <cellStyle name="Связанная ячейка" xfId="187"/>
    <cellStyle name="Стиль 1" xfId="1"/>
    <cellStyle name="Текст попередження" xfId="188" customBuiltin="1"/>
    <cellStyle name="Текст пояснення" xfId="189" customBuiltin="1"/>
    <cellStyle name="Текст предупреждения" xfId="190"/>
    <cellStyle name="Тысячи [0]_Додаток №1" xfId="191"/>
    <cellStyle name="Тысячи_Додаток №1" xfId="192"/>
    <cellStyle name="Фінансовий 2" xfId="193"/>
    <cellStyle name="Фінансовий 2 2" xfId="194"/>
    <cellStyle name="Хороший" xfId="195"/>
    <cellStyle name="ЏђЋ–…Ќ’Ќ›‰" xfId="196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get-galya\&#1041;&#1102;&#1076;&#1078;&#1077;&#1090;_2003\&#1052;&#1086;&#1080;%20&#1076;&#1086;&#1082;&#1091;&#1084;&#1077;&#1085;&#1090;&#1099;\&#1041;&#1102;&#1076;&#1078;&#1077;&#1090;_2002\&#1091;&#1090;&#1086;&#1095;&#1085;&#1077;&#1085;&#1085;&#1103;_2002\&#1059;&#1090;_&#1086;&#1073;&#1083;_&#1073;_19_06_&#1054;&#105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&#1052;&#1086;&#1080;%20&#1076;&#1086;&#1082;&#1091;&#1084;&#1077;&#1085;&#1090;&#1099;\Exsel\TABL16_DP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/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285"/>
  <sheetViews>
    <sheetView showZeros="0" tabSelected="1" view="pageBreakPreview" zoomScale="50" zoomScaleNormal="75" zoomScaleSheetLayoutView="75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A112" sqref="A112:J122"/>
    </sheetView>
  </sheetViews>
  <sheetFormatPr defaultRowHeight="13.2"/>
  <cols>
    <col min="1" max="1" width="5.88671875" customWidth="1"/>
    <col min="2" max="2" width="32" customWidth="1"/>
    <col min="3" max="3" width="35.6640625" customWidth="1"/>
    <col min="4" max="4" width="17.88671875" customWidth="1"/>
    <col min="5" max="5" width="16.44140625" customWidth="1"/>
    <col min="6" max="6" width="19.109375" customWidth="1"/>
    <col min="7" max="7" width="14.88671875" customWidth="1"/>
    <col min="8" max="8" width="16.33203125" customWidth="1"/>
    <col min="9" max="9" width="18.6640625" customWidth="1"/>
    <col min="10" max="10" width="14.109375" customWidth="1"/>
    <col min="11" max="11" width="9.109375" style="8" customWidth="1"/>
    <col min="12" max="12" width="10.88671875" style="8" bestFit="1" customWidth="1"/>
    <col min="13" max="13" width="13" style="8" customWidth="1"/>
    <col min="14" max="17" width="9.109375" style="8" customWidth="1"/>
    <col min="19" max="19" width="17.109375" customWidth="1"/>
    <col min="20" max="20" width="28.44140625" customWidth="1"/>
    <col min="21" max="21" width="38.5546875" customWidth="1"/>
    <col min="22" max="22" width="36.6640625" customWidth="1"/>
    <col min="23" max="23" width="33" customWidth="1"/>
    <col min="24" max="24" width="9.44140625" bestFit="1" customWidth="1"/>
    <col min="25" max="25" width="11.44140625" bestFit="1" customWidth="1"/>
    <col min="26" max="26" width="13" bestFit="1" customWidth="1"/>
    <col min="27" max="27" width="14.5546875" bestFit="1" customWidth="1"/>
    <col min="28" max="28" width="11.44140625" bestFit="1" customWidth="1"/>
  </cols>
  <sheetData>
    <row r="1" spans="1:28" s="2" customFormat="1" ht="36" customHeight="1">
      <c r="A1" s="77" t="s">
        <v>126</v>
      </c>
      <c r="B1" s="77"/>
      <c r="C1" s="77"/>
      <c r="D1" s="77"/>
      <c r="E1" s="77"/>
      <c r="F1" s="77"/>
      <c r="G1" s="77"/>
      <c r="H1" s="77"/>
      <c r="I1" s="77"/>
      <c r="J1" s="77"/>
      <c r="K1" s="6"/>
      <c r="L1" s="3"/>
      <c r="M1" s="7"/>
      <c r="N1" s="7"/>
      <c r="O1" s="7"/>
      <c r="P1" s="7"/>
      <c r="Q1" s="7"/>
    </row>
    <row r="2" spans="1:28" s="4" customFormat="1" ht="31.8" customHeight="1">
      <c r="A2" s="21" t="s">
        <v>127</v>
      </c>
      <c r="B2" s="21"/>
      <c r="C2" s="21"/>
      <c r="D2" s="21"/>
      <c r="E2" s="21"/>
      <c r="F2" s="21"/>
      <c r="G2" s="33" t="s">
        <v>138</v>
      </c>
      <c r="H2" s="21"/>
      <c r="I2" s="21"/>
      <c r="J2" s="22" t="s">
        <v>32</v>
      </c>
      <c r="K2" s="6"/>
      <c r="L2" s="6"/>
      <c r="M2" s="6"/>
      <c r="N2" s="6"/>
      <c r="O2" s="6"/>
      <c r="P2" s="6"/>
      <c r="Q2" s="6"/>
    </row>
    <row r="3" spans="1:28" s="5" customFormat="1" ht="78.599999999999994" customHeight="1">
      <c r="A3" s="74" t="s">
        <v>20</v>
      </c>
      <c r="B3" s="74" t="s">
        <v>19</v>
      </c>
      <c r="C3" s="74" t="s">
        <v>5</v>
      </c>
      <c r="D3" s="78" t="s">
        <v>21</v>
      </c>
      <c r="E3" s="79"/>
      <c r="F3" s="80"/>
      <c r="G3" s="81" t="s">
        <v>22</v>
      </c>
      <c r="H3" s="81"/>
      <c r="I3" s="81"/>
      <c r="J3" s="74" t="s">
        <v>23</v>
      </c>
      <c r="S3" s="10" t="s">
        <v>42</v>
      </c>
      <c r="T3" s="10" t="s">
        <v>43</v>
      </c>
      <c r="U3" s="10" t="s">
        <v>44</v>
      </c>
      <c r="V3" s="10" t="s">
        <v>45</v>
      </c>
      <c r="W3" s="10" t="s">
        <v>46</v>
      </c>
      <c r="X3" s="10" t="s">
        <v>47</v>
      </c>
      <c r="Y3" s="10" t="s">
        <v>48</v>
      </c>
      <c r="Z3" s="10" t="s">
        <v>49</v>
      </c>
      <c r="AA3" s="10" t="s">
        <v>50</v>
      </c>
      <c r="AB3" s="10" t="s">
        <v>51</v>
      </c>
    </row>
    <row r="4" spans="1:28" s="5" customFormat="1" ht="92.4" customHeight="1">
      <c r="A4" s="74"/>
      <c r="B4" s="74"/>
      <c r="C4" s="74"/>
      <c r="D4" s="34" t="s">
        <v>13</v>
      </c>
      <c r="E4" s="34" t="s">
        <v>16</v>
      </c>
      <c r="F4" s="34" t="s">
        <v>12</v>
      </c>
      <c r="G4" s="34" t="s">
        <v>13</v>
      </c>
      <c r="H4" s="34" t="s">
        <v>16</v>
      </c>
      <c r="I4" s="34" t="s">
        <v>12</v>
      </c>
      <c r="J4" s="74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s="5" customFormat="1" ht="40.799999999999997" customHeight="1">
      <c r="A5" s="56" t="s">
        <v>67</v>
      </c>
      <c r="B5" s="56"/>
      <c r="C5" s="56"/>
      <c r="D5" s="26">
        <f>+D7+D18+D34</f>
        <v>2775</v>
      </c>
      <c r="E5" s="26">
        <f>+E7+E18+E34</f>
        <v>1235</v>
      </c>
      <c r="F5" s="26">
        <f t="shared" ref="F5:F12" si="0">E5+D5</f>
        <v>4010</v>
      </c>
      <c r="G5" s="26">
        <f>+G7+G18+G34+G92</f>
        <v>786.83999999999992</v>
      </c>
      <c r="H5" s="26">
        <f>+H7+H18+H34+H92</f>
        <v>0</v>
      </c>
      <c r="I5" s="26">
        <f t="shared" ref="I5:I11" si="1">G5+H5</f>
        <v>786.83999999999992</v>
      </c>
      <c r="J5" s="26">
        <f t="shared" ref="J5:J11" si="2">I5/F5*100</f>
        <v>19.621945137157105</v>
      </c>
      <c r="S5" s="10">
        <f t="shared" ref="S5:S79" si="3">IF(LEN($A5)=0,0,(IF(LEN($A5)&lt;=2,(IF($J5&gt;0,(IF(($I5/$F5)*100=0,1,0)),1)),0)))</f>
        <v>0</v>
      </c>
      <c r="T5" s="10">
        <f t="shared" ref="T5:T79" si="4">IF(LEN($A5)=0,0,(IF(LEN($A5)&lt;=2,(IF($J5&gt;0,(IF(AND(($I5)/($F5)*100&gt;=0,($I5)/($F5)*100&lt;30),1,0)),0)),0)))</f>
        <v>0</v>
      </c>
      <c r="U5" s="10">
        <f t="shared" ref="U5:U79" si="5">IF(LEN($A5)=0,0,(IF(LEN($A5)&lt;=2,(IF($J5&gt;0,(IF(AND(($I5)/($F5)*100&gt;=30,($I5)/($F5)*100&lt;70),1,0)),0)),0)))</f>
        <v>0</v>
      </c>
      <c r="V5" s="10">
        <f t="shared" ref="V5:V79" si="6">IF(LEN($A5)=0,0,(IF(LEN($A5)&lt;=2,(IF($J5&gt;0,(IF(AND(($I5)/($F5)*100&gt;=70,($I5)/($F5)*100&lt;100),1,0)),0)),0)))</f>
        <v>0</v>
      </c>
      <c r="W5" s="10">
        <f t="shared" ref="W5:W79" si="7">IF(LEN($A5)=0,0,(IF(LEN($A5)&lt;=2,(IF($J5&gt;0,(IF(($I5/$F5)*100&gt;=100,1,0)),0)),0)))</f>
        <v>0</v>
      </c>
      <c r="X5" s="49">
        <f t="shared" ref="X5:X79" si="8">IF(LEN($A5)&gt;2,0,(IF(LEN($A5)&lt;=2,(IF($J5&gt;0,(IF(($I5)/($F5)*100=0,$I5,0)),0)),0)))</f>
        <v>0</v>
      </c>
      <c r="Y5" s="49">
        <f t="shared" ref="Y5:Y79" si="9">IF(LEN($A5)=0,0,(IF(LEN($A5)&lt;=2,(IF($J5&gt;0,(IF(AND(($I5)/($F5)*100&gt;0,($I5)/($F5)*100&lt;30),$I5,0)),0)),0)))</f>
        <v>0</v>
      </c>
      <c r="Z5" s="49">
        <f t="shared" ref="Z5:Z79" si="10">IF(LEN($A5)=0,0,(IF(LEN($A5)&lt;=2,(IF($J5&gt;0,(IF(AND(($I5)/($F5)*100&gt;=30,($I5)/($F5)*100&lt;70),$I5,0)),0)),0)))</f>
        <v>0</v>
      </c>
      <c r="AA5" s="49">
        <f t="shared" ref="AA5:AA79" si="11">IF(LEN($A5)=0,0,(IF(LEN($A5)&lt;=2,(IF($J5&gt;0,(IF(AND(($I5)/($F5)*100&gt;=70,($I5)/($F5)*100&lt;100),$I5,0)),0)),0)))</f>
        <v>0</v>
      </c>
      <c r="AB5" s="49">
        <f t="shared" ref="AB5:AB79" si="12">IF(LEN($A5)=0,0,(IF(LEN($A5)&lt;=2,(IF($J5&gt;0,(IF(($I5)/($F5)*100&gt;=100,$I5,0)),0)),0)))</f>
        <v>0</v>
      </c>
    </row>
    <row r="6" spans="1:28" s="5" customFormat="1" ht="45.6" customHeight="1">
      <c r="A6" s="75">
        <v>1</v>
      </c>
      <c r="B6" s="76" t="s">
        <v>56</v>
      </c>
      <c r="C6" s="37" t="s">
        <v>65</v>
      </c>
      <c r="D6" s="24">
        <f>D7+D8+D9</f>
        <v>3600</v>
      </c>
      <c r="E6" s="24">
        <f>E7+E8+E9</f>
        <v>0</v>
      </c>
      <c r="F6" s="24">
        <f t="shared" si="0"/>
        <v>3600</v>
      </c>
      <c r="G6" s="24">
        <f>G7+G8+G9</f>
        <v>1989.9900000000002</v>
      </c>
      <c r="H6" s="24">
        <f>H7+H8+H9</f>
        <v>0</v>
      </c>
      <c r="I6" s="24">
        <f>G6+H6</f>
        <v>1989.9900000000002</v>
      </c>
      <c r="J6" s="24">
        <f t="shared" si="2"/>
        <v>55.277500000000003</v>
      </c>
      <c r="S6" s="10">
        <f t="shared" si="3"/>
        <v>0</v>
      </c>
      <c r="T6" s="10">
        <f t="shared" si="4"/>
        <v>0</v>
      </c>
      <c r="U6" s="10">
        <f t="shared" si="5"/>
        <v>1</v>
      </c>
      <c r="V6" s="10">
        <f t="shared" si="6"/>
        <v>0</v>
      </c>
      <c r="W6" s="10">
        <f t="shared" si="7"/>
        <v>0</v>
      </c>
      <c r="X6" s="49">
        <f t="shared" si="8"/>
        <v>0</v>
      </c>
      <c r="Y6" s="49">
        <f t="shared" si="9"/>
        <v>0</v>
      </c>
      <c r="Z6" s="49">
        <f t="shared" si="10"/>
        <v>1989.9900000000002</v>
      </c>
      <c r="AA6" s="49">
        <f t="shared" si="11"/>
        <v>0</v>
      </c>
      <c r="AB6" s="49">
        <f t="shared" si="12"/>
        <v>0</v>
      </c>
    </row>
    <row r="7" spans="1:28" s="8" customFormat="1" ht="43.8" customHeight="1">
      <c r="A7" s="74"/>
      <c r="B7" s="76"/>
      <c r="C7" s="34" t="s">
        <v>67</v>
      </c>
      <c r="D7" s="25">
        <v>650</v>
      </c>
      <c r="E7" s="25"/>
      <c r="F7" s="25">
        <f t="shared" si="0"/>
        <v>650</v>
      </c>
      <c r="G7" s="25">
        <f>2.5+48.5+13.17+54.15+1.16+9.4+0.86+9+5.4+145.1+14.9+2.9+2.8+6.3</f>
        <v>316.14</v>
      </c>
      <c r="H7" s="25"/>
      <c r="I7" s="25">
        <f t="shared" si="1"/>
        <v>316.14</v>
      </c>
      <c r="J7" s="25">
        <f t="shared" si="2"/>
        <v>48.636923076923075</v>
      </c>
      <c r="S7" s="10">
        <f t="shared" si="3"/>
        <v>0</v>
      </c>
      <c r="T7" s="10">
        <f t="shared" si="4"/>
        <v>0</v>
      </c>
      <c r="U7" s="10">
        <f t="shared" si="5"/>
        <v>0</v>
      </c>
      <c r="V7" s="10">
        <f t="shared" si="6"/>
        <v>0</v>
      </c>
      <c r="W7" s="10">
        <f t="shared" si="7"/>
        <v>0</v>
      </c>
      <c r="X7" s="49">
        <f t="shared" si="8"/>
        <v>0</v>
      </c>
      <c r="Y7" s="49">
        <f t="shared" si="9"/>
        <v>0</v>
      </c>
      <c r="Z7" s="49">
        <f t="shared" si="10"/>
        <v>0</v>
      </c>
      <c r="AA7" s="49">
        <f t="shared" si="11"/>
        <v>0</v>
      </c>
      <c r="AB7" s="49">
        <f t="shared" si="12"/>
        <v>0</v>
      </c>
    </row>
    <row r="8" spans="1:28" s="8" customFormat="1" ht="51" customHeight="1">
      <c r="A8" s="74"/>
      <c r="B8" s="76"/>
      <c r="C8" s="25" t="s">
        <v>34</v>
      </c>
      <c r="D8" s="25">
        <v>650</v>
      </c>
      <c r="E8" s="25"/>
      <c r="F8" s="25">
        <f t="shared" si="0"/>
        <v>650</v>
      </c>
      <c r="G8" s="25">
        <f>85+39.9+5.9+24.5+9.9+2.7+81.51+3.451+8.34+68.3+46+6+7.04+49.4+7.7+37.5+14.9+7</f>
        <v>505.041</v>
      </c>
      <c r="H8" s="25"/>
      <c r="I8" s="25">
        <f t="shared" si="1"/>
        <v>505.041</v>
      </c>
      <c r="J8" s="25">
        <f t="shared" si="2"/>
        <v>77.698615384615394</v>
      </c>
      <c r="S8" s="10">
        <f t="shared" si="3"/>
        <v>0</v>
      </c>
      <c r="T8" s="10">
        <f t="shared" si="4"/>
        <v>0</v>
      </c>
      <c r="U8" s="10">
        <f t="shared" si="5"/>
        <v>0</v>
      </c>
      <c r="V8" s="10">
        <f t="shared" si="6"/>
        <v>0</v>
      </c>
      <c r="W8" s="10">
        <f t="shared" si="7"/>
        <v>0</v>
      </c>
      <c r="X8" s="49">
        <f t="shared" si="8"/>
        <v>0</v>
      </c>
      <c r="Y8" s="49">
        <f t="shared" si="9"/>
        <v>0</v>
      </c>
      <c r="Z8" s="49">
        <f t="shared" si="10"/>
        <v>0</v>
      </c>
      <c r="AA8" s="49">
        <f t="shared" si="11"/>
        <v>0</v>
      </c>
      <c r="AB8" s="49">
        <f t="shared" si="12"/>
        <v>0</v>
      </c>
    </row>
    <row r="9" spans="1:28" s="8" customFormat="1" ht="61.8" customHeight="1">
      <c r="A9" s="74"/>
      <c r="B9" s="76"/>
      <c r="C9" s="34" t="s">
        <v>54</v>
      </c>
      <c r="D9" s="25">
        <v>2300</v>
      </c>
      <c r="E9" s="25"/>
      <c r="F9" s="25">
        <f t="shared" si="0"/>
        <v>2300</v>
      </c>
      <c r="G9" s="25">
        <f>70.6+20.5+31.2+140.8+59.046+11.7+8.433+33.9+33.8+97.3+55.29+57.38+99.4+40+59.9+3.6+31.9+80.2+25.26+5.7+51.2+13.1+5.4+133.2</f>
        <v>1168.8090000000002</v>
      </c>
      <c r="H9" s="25"/>
      <c r="I9" s="25">
        <f t="shared" si="1"/>
        <v>1168.8090000000002</v>
      </c>
      <c r="J9" s="25">
        <f t="shared" si="2"/>
        <v>50.817782608695659</v>
      </c>
      <c r="S9" s="10">
        <f t="shared" si="3"/>
        <v>0</v>
      </c>
      <c r="T9" s="10">
        <f t="shared" si="4"/>
        <v>0</v>
      </c>
      <c r="U9" s="10">
        <f t="shared" si="5"/>
        <v>0</v>
      </c>
      <c r="V9" s="10">
        <f t="shared" si="6"/>
        <v>0</v>
      </c>
      <c r="W9" s="10">
        <f t="shared" si="7"/>
        <v>0</v>
      </c>
      <c r="X9" s="49">
        <f t="shared" si="8"/>
        <v>0</v>
      </c>
      <c r="Y9" s="49">
        <f t="shared" si="9"/>
        <v>0</v>
      </c>
      <c r="Z9" s="49">
        <f t="shared" si="10"/>
        <v>0</v>
      </c>
      <c r="AA9" s="49">
        <f t="shared" si="11"/>
        <v>0</v>
      </c>
      <c r="AB9" s="49">
        <f t="shared" si="12"/>
        <v>0</v>
      </c>
    </row>
    <row r="10" spans="1:28" s="5" customFormat="1" ht="49.8" customHeight="1">
      <c r="A10" s="56" t="s">
        <v>52</v>
      </c>
      <c r="B10" s="56"/>
      <c r="C10" s="56"/>
      <c r="D10" s="26">
        <f>+D11</f>
        <v>0</v>
      </c>
      <c r="E10" s="26">
        <f>+E11</f>
        <v>6912</v>
      </c>
      <c r="F10" s="26">
        <f t="shared" si="0"/>
        <v>6912</v>
      </c>
      <c r="G10" s="26">
        <f>+G11</f>
        <v>0</v>
      </c>
      <c r="H10" s="26">
        <f>+H11</f>
        <v>4401.6000000000004</v>
      </c>
      <c r="I10" s="26">
        <f t="shared" si="1"/>
        <v>4401.6000000000004</v>
      </c>
      <c r="J10" s="26">
        <f t="shared" si="2"/>
        <v>63.680555555555564</v>
      </c>
      <c r="S10" s="10">
        <f t="shared" si="3"/>
        <v>0</v>
      </c>
      <c r="T10" s="10">
        <f t="shared" si="4"/>
        <v>0</v>
      </c>
      <c r="U10" s="10">
        <f t="shared" si="5"/>
        <v>0</v>
      </c>
      <c r="V10" s="10">
        <f t="shared" si="6"/>
        <v>0</v>
      </c>
      <c r="W10" s="10">
        <f t="shared" si="7"/>
        <v>0</v>
      </c>
      <c r="X10" s="49">
        <f t="shared" si="8"/>
        <v>0</v>
      </c>
      <c r="Y10" s="49">
        <f t="shared" si="9"/>
        <v>0</v>
      </c>
      <c r="Z10" s="49">
        <f t="shared" si="10"/>
        <v>0</v>
      </c>
      <c r="AA10" s="49">
        <f t="shared" si="11"/>
        <v>0</v>
      </c>
      <c r="AB10" s="49">
        <f t="shared" si="12"/>
        <v>0</v>
      </c>
    </row>
    <row r="11" spans="1:28" s="5" customFormat="1" ht="152.25" customHeight="1">
      <c r="A11" s="35">
        <v>2</v>
      </c>
      <c r="B11" s="38" t="s">
        <v>95</v>
      </c>
      <c r="C11" s="34" t="s">
        <v>52</v>
      </c>
      <c r="D11" s="25"/>
      <c r="E11" s="25">
        <v>6912</v>
      </c>
      <c r="F11" s="25">
        <f t="shared" si="0"/>
        <v>6912</v>
      </c>
      <c r="G11" s="25"/>
      <c r="H11" s="25">
        <f>1464+27+459.3+1491+322.7+637.6</f>
        <v>4401.6000000000004</v>
      </c>
      <c r="I11" s="25">
        <f t="shared" si="1"/>
        <v>4401.6000000000004</v>
      </c>
      <c r="J11" s="25">
        <f t="shared" si="2"/>
        <v>63.680555555555564</v>
      </c>
      <c r="S11" s="10">
        <f t="shared" si="3"/>
        <v>0</v>
      </c>
      <c r="T11" s="10">
        <f t="shared" si="4"/>
        <v>0</v>
      </c>
      <c r="U11" s="10">
        <f t="shared" si="5"/>
        <v>1</v>
      </c>
      <c r="V11" s="10">
        <f t="shared" si="6"/>
        <v>0</v>
      </c>
      <c r="W11" s="10">
        <f t="shared" si="7"/>
        <v>0</v>
      </c>
      <c r="X11" s="49">
        <f t="shared" si="8"/>
        <v>0</v>
      </c>
      <c r="Y11" s="49">
        <f t="shared" si="9"/>
        <v>0</v>
      </c>
      <c r="Z11" s="49">
        <f t="shared" si="10"/>
        <v>4401.6000000000004</v>
      </c>
      <c r="AA11" s="49">
        <f t="shared" si="11"/>
        <v>0</v>
      </c>
      <c r="AB11" s="49">
        <f t="shared" si="12"/>
        <v>0</v>
      </c>
    </row>
    <row r="12" spans="1:28" s="5" customFormat="1" ht="46.2" customHeight="1">
      <c r="A12" s="56" t="s">
        <v>34</v>
      </c>
      <c r="B12" s="56"/>
      <c r="C12" s="56"/>
      <c r="D12" s="26">
        <f>+D8+D13+D15</f>
        <v>2695</v>
      </c>
      <c r="E12" s="26">
        <f>+E8+E13+E15</f>
        <v>9495</v>
      </c>
      <c r="F12" s="30">
        <f t="shared" si="0"/>
        <v>12190</v>
      </c>
      <c r="G12" s="26">
        <f>+G8+G13+G15</f>
        <v>680.54099999999994</v>
      </c>
      <c r="H12" s="26">
        <f>+H8+H13+H15</f>
        <v>5000</v>
      </c>
      <c r="I12" s="30">
        <f>H12+G12</f>
        <v>5680.5410000000002</v>
      </c>
      <c r="J12" s="30">
        <f t="shared" ref="J12:J20" si="13">I12/F12*100</f>
        <v>46.600008203445448</v>
      </c>
      <c r="S12" s="10">
        <f t="shared" si="3"/>
        <v>0</v>
      </c>
      <c r="T12" s="10">
        <f t="shared" si="4"/>
        <v>0</v>
      </c>
      <c r="U12" s="10">
        <f t="shared" si="5"/>
        <v>0</v>
      </c>
      <c r="V12" s="10">
        <f t="shared" si="6"/>
        <v>0</v>
      </c>
      <c r="W12" s="10">
        <f t="shared" si="7"/>
        <v>0</v>
      </c>
      <c r="X12" s="49">
        <f t="shared" si="8"/>
        <v>0</v>
      </c>
      <c r="Y12" s="49">
        <f t="shared" si="9"/>
        <v>0</v>
      </c>
      <c r="Z12" s="49">
        <f t="shared" si="10"/>
        <v>0</v>
      </c>
      <c r="AA12" s="49">
        <f t="shared" si="11"/>
        <v>0</v>
      </c>
      <c r="AB12" s="49">
        <f t="shared" si="12"/>
        <v>0</v>
      </c>
    </row>
    <row r="13" spans="1:28" s="5" customFormat="1" ht="116.25" customHeight="1">
      <c r="A13" s="39" t="s">
        <v>114</v>
      </c>
      <c r="B13" s="38" t="s">
        <v>81</v>
      </c>
      <c r="C13" s="25" t="s">
        <v>34</v>
      </c>
      <c r="D13" s="25">
        <f>2000-2000</f>
        <v>0</v>
      </c>
      <c r="E13" s="29">
        <f>3000+2000</f>
        <v>5000</v>
      </c>
      <c r="F13" s="29">
        <f t="shared" ref="F13:F27" si="14">D13+E13</f>
        <v>5000</v>
      </c>
      <c r="G13" s="29"/>
      <c r="H13" s="25">
        <f>1984.6+2015.4+400+600</f>
        <v>5000</v>
      </c>
      <c r="I13" s="29">
        <f>G13+H13</f>
        <v>5000</v>
      </c>
      <c r="J13" s="29">
        <f t="shared" si="13"/>
        <v>100</v>
      </c>
      <c r="S13" s="10">
        <f t="shared" si="3"/>
        <v>0</v>
      </c>
      <c r="T13" s="10">
        <f t="shared" si="4"/>
        <v>0</v>
      </c>
      <c r="U13" s="10">
        <f t="shared" si="5"/>
        <v>0</v>
      </c>
      <c r="V13" s="10">
        <f t="shared" si="6"/>
        <v>0</v>
      </c>
      <c r="W13" s="10">
        <f t="shared" si="7"/>
        <v>1</v>
      </c>
      <c r="X13" s="49">
        <f t="shared" si="8"/>
        <v>0</v>
      </c>
      <c r="Y13" s="49">
        <f t="shared" si="9"/>
        <v>0</v>
      </c>
      <c r="Z13" s="49">
        <f t="shared" si="10"/>
        <v>0</v>
      </c>
      <c r="AA13" s="49">
        <f t="shared" si="11"/>
        <v>0</v>
      </c>
      <c r="AB13" s="49">
        <f t="shared" si="12"/>
        <v>5000</v>
      </c>
    </row>
    <row r="14" spans="1:28" s="5" customFormat="1" ht="55.2" customHeight="1">
      <c r="A14" s="59" t="s">
        <v>115</v>
      </c>
      <c r="B14" s="53" t="s">
        <v>80</v>
      </c>
      <c r="C14" s="37" t="s">
        <v>65</v>
      </c>
      <c r="D14" s="23">
        <f>+D15+D18+D19+D20+D17+D16</f>
        <v>3840</v>
      </c>
      <c r="E14" s="23">
        <f>+E15+E18+E19+E20+E17+E16</f>
        <v>6860</v>
      </c>
      <c r="F14" s="28">
        <f>+D14+E14</f>
        <v>10700</v>
      </c>
      <c r="G14" s="28">
        <f>+G15+G18+G19+G20+G16+G17</f>
        <v>271.35000000000002</v>
      </c>
      <c r="H14" s="28">
        <f>+H15+H18+H19+H20+H16+H17</f>
        <v>866.4</v>
      </c>
      <c r="I14" s="28">
        <f>+G14+H14</f>
        <v>1137.75</v>
      </c>
      <c r="J14" s="28">
        <f>I14/F14*100</f>
        <v>10.633177570093459</v>
      </c>
      <c r="S14" s="10">
        <f t="shared" si="3"/>
        <v>0</v>
      </c>
      <c r="T14" s="10">
        <f t="shared" si="4"/>
        <v>1</v>
      </c>
      <c r="U14" s="10">
        <f t="shared" si="5"/>
        <v>0</v>
      </c>
      <c r="V14" s="10">
        <f t="shared" si="6"/>
        <v>0</v>
      </c>
      <c r="W14" s="10">
        <f t="shared" si="7"/>
        <v>0</v>
      </c>
      <c r="X14" s="49">
        <f t="shared" si="8"/>
        <v>0</v>
      </c>
      <c r="Y14" s="49">
        <f t="shared" si="9"/>
        <v>1137.75</v>
      </c>
      <c r="Z14" s="49">
        <f t="shared" si="10"/>
        <v>0</v>
      </c>
      <c r="AA14" s="49">
        <f t="shared" si="11"/>
        <v>0</v>
      </c>
      <c r="AB14" s="49">
        <f t="shared" si="12"/>
        <v>0</v>
      </c>
    </row>
    <row r="15" spans="1:28" s="5" customFormat="1" ht="53.4" customHeight="1">
      <c r="A15" s="60"/>
      <c r="B15" s="55"/>
      <c r="C15" s="25" t="s">
        <v>34</v>
      </c>
      <c r="D15" s="25">
        <f>2090-45</f>
        <v>2045</v>
      </c>
      <c r="E15" s="25">
        <f>5000-505</f>
        <v>4495</v>
      </c>
      <c r="F15" s="29">
        <f t="shared" si="14"/>
        <v>6540</v>
      </c>
      <c r="G15" s="25">
        <f>170+5.5</f>
        <v>175.5</v>
      </c>
      <c r="H15" s="25"/>
      <c r="I15" s="29">
        <f>+G15+H15</f>
        <v>175.5</v>
      </c>
      <c r="J15" s="29">
        <f t="shared" si="13"/>
        <v>2.6834862385321103</v>
      </c>
      <c r="S15" s="10">
        <f t="shared" si="3"/>
        <v>0</v>
      </c>
      <c r="T15" s="10">
        <f t="shared" si="4"/>
        <v>0</v>
      </c>
      <c r="U15" s="10">
        <f t="shared" si="5"/>
        <v>0</v>
      </c>
      <c r="V15" s="10">
        <f t="shared" si="6"/>
        <v>0</v>
      </c>
      <c r="W15" s="10">
        <f t="shared" si="7"/>
        <v>0</v>
      </c>
      <c r="X15" s="49">
        <f t="shared" si="8"/>
        <v>0</v>
      </c>
      <c r="Y15" s="49">
        <f t="shared" si="9"/>
        <v>0</v>
      </c>
      <c r="Z15" s="49">
        <f t="shared" si="10"/>
        <v>0</v>
      </c>
      <c r="AA15" s="49">
        <f t="shared" si="11"/>
        <v>0</v>
      </c>
      <c r="AB15" s="49">
        <f t="shared" si="12"/>
        <v>0</v>
      </c>
    </row>
    <row r="16" spans="1:28" s="5" customFormat="1" ht="53.4" customHeight="1">
      <c r="A16" s="60"/>
      <c r="B16" s="55"/>
      <c r="C16" s="25" t="s">
        <v>15</v>
      </c>
      <c r="D16" s="25">
        <v>16</v>
      </c>
      <c r="E16" s="25">
        <v>184</v>
      </c>
      <c r="F16" s="29">
        <f>D16+E16</f>
        <v>200</v>
      </c>
      <c r="G16" s="25">
        <v>16</v>
      </c>
      <c r="H16" s="25">
        <v>183</v>
      </c>
      <c r="I16" s="29">
        <f>G16+H16</f>
        <v>199</v>
      </c>
      <c r="J16" s="29">
        <f>I16/F16*100</f>
        <v>99.5</v>
      </c>
      <c r="S16" s="10">
        <f t="shared" si="3"/>
        <v>0</v>
      </c>
      <c r="T16" s="10">
        <f t="shared" si="4"/>
        <v>0</v>
      </c>
      <c r="U16" s="10">
        <f t="shared" si="5"/>
        <v>0</v>
      </c>
      <c r="V16" s="10">
        <f t="shared" si="6"/>
        <v>0</v>
      </c>
      <c r="W16" s="10">
        <f t="shared" si="7"/>
        <v>0</v>
      </c>
      <c r="X16" s="49">
        <f t="shared" si="8"/>
        <v>0</v>
      </c>
      <c r="Y16" s="49">
        <f t="shared" si="9"/>
        <v>0</v>
      </c>
      <c r="Z16" s="49">
        <f t="shared" si="10"/>
        <v>0</v>
      </c>
      <c r="AA16" s="49">
        <f t="shared" si="11"/>
        <v>0</v>
      </c>
      <c r="AB16" s="49">
        <f t="shared" si="12"/>
        <v>0</v>
      </c>
    </row>
    <row r="17" spans="1:28" s="5" customFormat="1" ht="61.95" customHeight="1">
      <c r="A17" s="60"/>
      <c r="B17" s="55"/>
      <c r="C17" s="25" t="s">
        <v>61</v>
      </c>
      <c r="D17" s="25">
        <v>29</v>
      </c>
      <c r="E17" s="25">
        <v>321</v>
      </c>
      <c r="F17" s="29">
        <f>D17+E17</f>
        <v>350</v>
      </c>
      <c r="G17" s="25">
        <v>19.850000000000001</v>
      </c>
      <c r="H17" s="25">
        <v>58.9</v>
      </c>
      <c r="I17" s="29">
        <f>G17+H17</f>
        <v>78.75</v>
      </c>
      <c r="J17" s="29">
        <f>I17/F17*100</f>
        <v>22.5</v>
      </c>
      <c r="S17" s="10">
        <f t="shared" si="3"/>
        <v>0</v>
      </c>
      <c r="T17" s="10">
        <f t="shared" si="4"/>
        <v>0</v>
      </c>
      <c r="U17" s="10">
        <f t="shared" si="5"/>
        <v>0</v>
      </c>
      <c r="V17" s="10">
        <f t="shared" si="6"/>
        <v>0</v>
      </c>
      <c r="W17" s="10">
        <f t="shared" si="7"/>
        <v>0</v>
      </c>
      <c r="X17" s="49">
        <f t="shared" si="8"/>
        <v>0</v>
      </c>
      <c r="Y17" s="49">
        <f t="shared" si="9"/>
        <v>0</v>
      </c>
      <c r="Z17" s="49">
        <f t="shared" si="10"/>
        <v>0</v>
      </c>
      <c r="AA17" s="49">
        <f t="shared" si="11"/>
        <v>0</v>
      </c>
      <c r="AB17" s="49">
        <f t="shared" si="12"/>
        <v>0</v>
      </c>
    </row>
    <row r="18" spans="1:28" s="5" customFormat="1" ht="61.5" customHeight="1">
      <c r="A18" s="60"/>
      <c r="B18" s="54"/>
      <c r="C18" s="25" t="s">
        <v>75</v>
      </c>
      <c r="D18" s="25">
        <f>2410-735</f>
        <v>1675</v>
      </c>
      <c r="E18" s="25">
        <f>500+735</f>
        <v>1235</v>
      </c>
      <c r="F18" s="29">
        <f t="shared" si="14"/>
        <v>2910</v>
      </c>
      <c r="G18" s="25"/>
      <c r="H18" s="25"/>
      <c r="I18" s="29">
        <f>+G18+H18</f>
        <v>0</v>
      </c>
      <c r="J18" s="29">
        <f t="shared" si="13"/>
        <v>0</v>
      </c>
      <c r="S18" s="10">
        <f t="shared" si="3"/>
        <v>0</v>
      </c>
      <c r="T18" s="10">
        <f t="shared" si="4"/>
        <v>0</v>
      </c>
      <c r="U18" s="10">
        <f t="shared" si="5"/>
        <v>0</v>
      </c>
      <c r="V18" s="10">
        <f t="shared" si="6"/>
        <v>0</v>
      </c>
      <c r="W18" s="10">
        <f t="shared" si="7"/>
        <v>0</v>
      </c>
      <c r="X18" s="49">
        <f t="shared" si="8"/>
        <v>0</v>
      </c>
      <c r="Y18" s="49">
        <f t="shared" si="9"/>
        <v>0</v>
      </c>
      <c r="Z18" s="49">
        <f t="shared" si="10"/>
        <v>0</v>
      </c>
      <c r="AA18" s="49">
        <f t="shared" si="11"/>
        <v>0</v>
      </c>
      <c r="AB18" s="49">
        <f t="shared" si="12"/>
        <v>0</v>
      </c>
    </row>
    <row r="19" spans="1:28" s="5" customFormat="1" ht="64.2" customHeight="1">
      <c r="A19" s="60"/>
      <c r="B19" s="53" t="s">
        <v>80</v>
      </c>
      <c r="C19" s="25" t="s">
        <v>82</v>
      </c>
      <c r="D19" s="25">
        <v>30</v>
      </c>
      <c r="E19" s="25">
        <v>250</v>
      </c>
      <c r="F19" s="29">
        <f t="shared" si="14"/>
        <v>280</v>
      </c>
      <c r="G19" s="25">
        <f>3+6+2.3+3.7</f>
        <v>15</v>
      </c>
      <c r="H19" s="25">
        <f>125+50+17.4+49.8+7.3</f>
        <v>249.5</v>
      </c>
      <c r="I19" s="29">
        <f>+G19+H19</f>
        <v>264.5</v>
      </c>
      <c r="J19" s="29">
        <f t="shared" si="13"/>
        <v>94.464285714285708</v>
      </c>
      <c r="S19" s="10">
        <f t="shared" si="3"/>
        <v>0</v>
      </c>
      <c r="T19" s="10">
        <f t="shared" si="4"/>
        <v>0</v>
      </c>
      <c r="U19" s="10">
        <f t="shared" si="5"/>
        <v>0</v>
      </c>
      <c r="V19" s="10">
        <f t="shared" si="6"/>
        <v>0</v>
      </c>
      <c r="W19" s="10">
        <f t="shared" si="7"/>
        <v>0</v>
      </c>
      <c r="X19" s="49">
        <f t="shared" si="8"/>
        <v>0</v>
      </c>
      <c r="Y19" s="49">
        <f t="shared" si="9"/>
        <v>0</v>
      </c>
      <c r="Z19" s="49">
        <f t="shared" si="10"/>
        <v>0</v>
      </c>
      <c r="AA19" s="49">
        <f t="shared" si="11"/>
        <v>0</v>
      </c>
      <c r="AB19" s="49">
        <f t="shared" si="12"/>
        <v>0</v>
      </c>
    </row>
    <row r="20" spans="1:28" s="5" customFormat="1" ht="57" customHeight="1">
      <c r="A20" s="61"/>
      <c r="B20" s="54"/>
      <c r="C20" s="25" t="s">
        <v>24</v>
      </c>
      <c r="D20" s="25">
        <v>45</v>
      </c>
      <c r="E20" s="25">
        <v>375</v>
      </c>
      <c r="F20" s="29">
        <f t="shared" si="14"/>
        <v>420</v>
      </c>
      <c r="G20" s="25">
        <v>45</v>
      </c>
      <c r="H20" s="25">
        <v>375</v>
      </c>
      <c r="I20" s="29">
        <f>+G20+H20</f>
        <v>420</v>
      </c>
      <c r="J20" s="29">
        <f t="shared" si="13"/>
        <v>100</v>
      </c>
      <c r="S20" s="10">
        <f t="shared" si="3"/>
        <v>0</v>
      </c>
      <c r="T20" s="10">
        <f t="shared" si="4"/>
        <v>0</v>
      </c>
      <c r="U20" s="10">
        <f t="shared" si="5"/>
        <v>0</v>
      </c>
      <c r="V20" s="10">
        <f t="shared" si="6"/>
        <v>0</v>
      </c>
      <c r="W20" s="10">
        <f t="shared" si="7"/>
        <v>0</v>
      </c>
      <c r="X20" s="49">
        <f t="shared" si="8"/>
        <v>0</v>
      </c>
      <c r="Y20" s="49">
        <f t="shared" si="9"/>
        <v>0</v>
      </c>
      <c r="Z20" s="49">
        <f t="shared" si="10"/>
        <v>0</v>
      </c>
      <c r="AA20" s="49">
        <f t="shared" si="11"/>
        <v>0</v>
      </c>
      <c r="AB20" s="49">
        <f t="shared" si="12"/>
        <v>0</v>
      </c>
    </row>
    <row r="21" spans="1:28" s="5" customFormat="1" ht="45" customHeight="1">
      <c r="A21" s="56" t="s">
        <v>70</v>
      </c>
      <c r="B21" s="56"/>
      <c r="C21" s="56"/>
      <c r="D21" s="26">
        <f>+D22+D106+D19</f>
        <v>61565.799999999996</v>
      </c>
      <c r="E21" s="26">
        <f>+E22+E106+E19</f>
        <v>125948</v>
      </c>
      <c r="F21" s="30">
        <f t="shared" si="14"/>
        <v>187513.8</v>
      </c>
      <c r="G21" s="26">
        <f>+G22+G106+G19</f>
        <v>51102.8</v>
      </c>
      <c r="H21" s="26">
        <f>+H22+H106+H19</f>
        <v>52911.7</v>
      </c>
      <c r="I21" s="30">
        <f>H21+G21</f>
        <v>104014.5</v>
      </c>
      <c r="J21" s="30">
        <f t="shared" ref="J21:J32" si="15">I21/F21*100</f>
        <v>55.470317384640488</v>
      </c>
      <c r="S21" s="10">
        <f t="shared" si="3"/>
        <v>0</v>
      </c>
      <c r="T21" s="10">
        <f t="shared" si="4"/>
        <v>0</v>
      </c>
      <c r="U21" s="10">
        <f t="shared" si="5"/>
        <v>0</v>
      </c>
      <c r="V21" s="10">
        <f t="shared" si="6"/>
        <v>0</v>
      </c>
      <c r="W21" s="10">
        <f t="shared" si="7"/>
        <v>0</v>
      </c>
      <c r="X21" s="49">
        <f t="shared" si="8"/>
        <v>0</v>
      </c>
      <c r="Y21" s="49">
        <f t="shared" si="9"/>
        <v>0</v>
      </c>
      <c r="Z21" s="49">
        <f t="shared" si="10"/>
        <v>0</v>
      </c>
      <c r="AA21" s="49">
        <f t="shared" si="11"/>
        <v>0</v>
      </c>
      <c r="AB21" s="49">
        <f t="shared" si="12"/>
        <v>0</v>
      </c>
    </row>
    <row r="22" spans="1:28" s="11" customFormat="1" ht="57.75" customHeight="1">
      <c r="A22" s="42" t="s">
        <v>116</v>
      </c>
      <c r="B22" s="38" t="s">
        <v>4</v>
      </c>
      <c r="C22" s="37" t="s">
        <v>65</v>
      </c>
      <c r="D22" s="23">
        <f>+D23+D24+D25+D26+D27+D28</f>
        <v>61535.799999999996</v>
      </c>
      <c r="E22" s="23">
        <f>+E23+E24+E25+E26+E27+E28</f>
        <v>122319.6</v>
      </c>
      <c r="F22" s="28">
        <f>D22+E22</f>
        <v>183855.4</v>
      </c>
      <c r="G22" s="28">
        <f>+G23+G24+G25+G26+G27+G28</f>
        <v>51087.8</v>
      </c>
      <c r="H22" s="28">
        <f>+H23+H24+H25+H26+H27+H28</f>
        <v>49478.399999999994</v>
      </c>
      <c r="I22" s="28">
        <f>G22+H22</f>
        <v>100566.2</v>
      </c>
      <c r="J22" s="28">
        <f>I22/F22*100</f>
        <v>54.698529387768872</v>
      </c>
      <c r="S22" s="10">
        <f t="shared" si="3"/>
        <v>0</v>
      </c>
      <c r="T22" s="10">
        <f t="shared" si="4"/>
        <v>0</v>
      </c>
      <c r="U22" s="10">
        <f t="shared" si="5"/>
        <v>1</v>
      </c>
      <c r="V22" s="10">
        <f t="shared" si="6"/>
        <v>0</v>
      </c>
      <c r="W22" s="10">
        <f t="shared" si="7"/>
        <v>0</v>
      </c>
      <c r="X22" s="49">
        <f t="shared" si="8"/>
        <v>0</v>
      </c>
      <c r="Y22" s="49">
        <f t="shared" si="9"/>
        <v>0</v>
      </c>
      <c r="Z22" s="49">
        <f t="shared" si="10"/>
        <v>100566.2</v>
      </c>
      <c r="AA22" s="49">
        <f t="shared" si="11"/>
        <v>0</v>
      </c>
      <c r="AB22" s="49">
        <f t="shared" si="12"/>
        <v>0</v>
      </c>
    </row>
    <row r="23" spans="1:28" s="5" customFormat="1" ht="208.5" customHeight="1">
      <c r="A23" s="60"/>
      <c r="B23" s="34" t="s">
        <v>83</v>
      </c>
      <c r="C23" s="63" t="s">
        <v>82</v>
      </c>
      <c r="D23" s="25">
        <v>3700</v>
      </c>
      <c r="E23" s="29">
        <v>0</v>
      </c>
      <c r="F23" s="29">
        <f t="shared" si="14"/>
        <v>3700</v>
      </c>
      <c r="G23" s="29">
        <f>400+130.9+147.9+128.1+135.7+124.4+272.9+352.2+11.9+29.5+15.7+227.2+144.6</f>
        <v>2121.0000000000005</v>
      </c>
      <c r="H23" s="25"/>
      <c r="I23" s="29">
        <f>G23+H23</f>
        <v>2121.0000000000005</v>
      </c>
      <c r="J23" s="29">
        <f t="shared" si="15"/>
        <v>57.324324324324337</v>
      </c>
      <c r="S23" s="10">
        <f t="shared" si="3"/>
        <v>0</v>
      </c>
      <c r="T23" s="10">
        <f t="shared" si="4"/>
        <v>0</v>
      </c>
      <c r="U23" s="10">
        <f t="shared" si="5"/>
        <v>0</v>
      </c>
      <c r="V23" s="10">
        <f t="shared" si="6"/>
        <v>0</v>
      </c>
      <c r="W23" s="10">
        <f t="shared" si="7"/>
        <v>0</v>
      </c>
      <c r="X23" s="49">
        <f t="shared" si="8"/>
        <v>0</v>
      </c>
      <c r="Y23" s="49">
        <f t="shared" si="9"/>
        <v>0</v>
      </c>
      <c r="Z23" s="49">
        <f t="shared" si="10"/>
        <v>0</v>
      </c>
      <c r="AA23" s="49">
        <f t="shared" si="11"/>
        <v>0</v>
      </c>
      <c r="AB23" s="49">
        <f t="shared" si="12"/>
        <v>0</v>
      </c>
    </row>
    <row r="24" spans="1:28" s="5" customFormat="1" ht="81.75" customHeight="1">
      <c r="A24" s="60"/>
      <c r="B24" s="34" t="s">
        <v>84</v>
      </c>
      <c r="C24" s="64"/>
      <c r="D24" s="25">
        <v>500</v>
      </c>
      <c r="E24" s="29">
        <v>0</v>
      </c>
      <c r="F24" s="29">
        <f t="shared" si="14"/>
        <v>500</v>
      </c>
      <c r="G24" s="29">
        <f>80.1+146.2</f>
        <v>226.29999999999998</v>
      </c>
      <c r="H24" s="25"/>
      <c r="I24" s="29">
        <f>G24+H24</f>
        <v>226.29999999999998</v>
      </c>
      <c r="J24" s="29">
        <f t="shared" si="15"/>
        <v>45.26</v>
      </c>
      <c r="S24" s="10">
        <f t="shared" si="3"/>
        <v>0</v>
      </c>
      <c r="T24" s="10">
        <f t="shared" si="4"/>
        <v>0</v>
      </c>
      <c r="U24" s="10">
        <f t="shared" si="5"/>
        <v>0</v>
      </c>
      <c r="V24" s="10">
        <f t="shared" si="6"/>
        <v>0</v>
      </c>
      <c r="W24" s="10">
        <f t="shared" si="7"/>
        <v>0</v>
      </c>
      <c r="X24" s="49">
        <f t="shared" si="8"/>
        <v>0</v>
      </c>
      <c r="Y24" s="49">
        <f t="shared" si="9"/>
        <v>0</v>
      </c>
      <c r="Z24" s="49">
        <f t="shared" si="10"/>
        <v>0</v>
      </c>
      <c r="AA24" s="49">
        <f t="shared" si="11"/>
        <v>0</v>
      </c>
      <c r="AB24" s="49">
        <f t="shared" si="12"/>
        <v>0</v>
      </c>
    </row>
    <row r="25" spans="1:28" s="5" customFormat="1" ht="53.25" customHeight="1">
      <c r="A25" s="60"/>
      <c r="B25" s="34" t="s">
        <v>85</v>
      </c>
      <c r="C25" s="63" t="s">
        <v>82</v>
      </c>
      <c r="D25" s="25">
        <f>5763</f>
        <v>5763</v>
      </c>
      <c r="E25" s="29">
        <f>87700+12598.3+22021.3</f>
        <v>122319.6</v>
      </c>
      <c r="F25" s="29">
        <f t="shared" si="14"/>
        <v>128082.6</v>
      </c>
      <c r="G25" s="29">
        <f>14+8.7+16.6+7+15.5+37.3+22.7+37.7+101.3+64.4+185.8+40</f>
        <v>551</v>
      </c>
      <c r="H25" s="25">
        <f>221+358.7+1124.1+1216.2+27505.1+3300+13521.3+668.5+975.7+587.8</f>
        <v>49478.399999999994</v>
      </c>
      <c r="I25" s="29">
        <f>G25+H25</f>
        <v>50029.399999999994</v>
      </c>
      <c r="J25" s="29">
        <f>I25/F25*100</f>
        <v>39.06026267424302</v>
      </c>
      <c r="S25" s="10">
        <f t="shared" si="3"/>
        <v>0</v>
      </c>
      <c r="T25" s="10">
        <f t="shared" si="4"/>
        <v>0</v>
      </c>
      <c r="U25" s="10">
        <f t="shared" si="5"/>
        <v>0</v>
      </c>
      <c r="V25" s="10">
        <f t="shared" si="6"/>
        <v>0</v>
      </c>
      <c r="W25" s="10">
        <f t="shared" si="7"/>
        <v>0</v>
      </c>
      <c r="X25" s="49">
        <f t="shared" si="8"/>
        <v>0</v>
      </c>
      <c r="Y25" s="49">
        <f t="shared" si="9"/>
        <v>0</v>
      </c>
      <c r="Z25" s="49">
        <f t="shared" si="10"/>
        <v>0</v>
      </c>
      <c r="AA25" s="49">
        <f t="shared" si="11"/>
        <v>0</v>
      </c>
      <c r="AB25" s="49">
        <f t="shared" si="12"/>
        <v>0</v>
      </c>
    </row>
    <row r="26" spans="1:28" s="5" customFormat="1" ht="121.8" customHeight="1">
      <c r="A26" s="60"/>
      <c r="B26" s="34" t="s">
        <v>128</v>
      </c>
      <c r="C26" s="65"/>
      <c r="D26" s="25">
        <f>45686.6-1600</f>
        <v>44086.6</v>
      </c>
      <c r="E26" s="29"/>
      <c r="F26" s="29">
        <f t="shared" si="14"/>
        <v>44086.6</v>
      </c>
      <c r="G26" s="29">
        <f>34409.1+2990.9+3348.3</f>
        <v>40748.300000000003</v>
      </c>
      <c r="H26" s="25"/>
      <c r="I26" s="29">
        <f>G26+H26</f>
        <v>40748.300000000003</v>
      </c>
      <c r="J26" s="29">
        <f>I26/F26*100</f>
        <v>92.427857897864669</v>
      </c>
      <c r="S26" s="10">
        <f t="shared" si="3"/>
        <v>0</v>
      </c>
      <c r="T26" s="10">
        <f t="shared" si="4"/>
        <v>0</v>
      </c>
      <c r="U26" s="10">
        <f t="shared" si="5"/>
        <v>0</v>
      </c>
      <c r="V26" s="10">
        <f t="shared" si="6"/>
        <v>0</v>
      </c>
      <c r="W26" s="10">
        <f t="shared" si="7"/>
        <v>0</v>
      </c>
      <c r="X26" s="49">
        <f t="shared" si="8"/>
        <v>0</v>
      </c>
      <c r="Y26" s="49">
        <f t="shared" si="9"/>
        <v>0</v>
      </c>
      <c r="Z26" s="49">
        <f t="shared" si="10"/>
        <v>0</v>
      </c>
      <c r="AA26" s="49">
        <f t="shared" si="11"/>
        <v>0</v>
      </c>
      <c r="AB26" s="49">
        <f t="shared" si="12"/>
        <v>0</v>
      </c>
    </row>
    <row r="27" spans="1:28" s="5" customFormat="1" ht="204" customHeight="1">
      <c r="A27" s="60"/>
      <c r="B27" s="34" t="s">
        <v>129</v>
      </c>
      <c r="C27" s="65"/>
      <c r="D27" s="29">
        <v>6549.1</v>
      </c>
      <c r="E27" s="29"/>
      <c r="F27" s="29">
        <f t="shared" si="14"/>
        <v>6549.1</v>
      </c>
      <c r="G27" s="25">
        <f>3274.6+3274.5</f>
        <v>6549.1</v>
      </c>
      <c r="H27" s="25"/>
      <c r="I27" s="29">
        <f>+G27+H27</f>
        <v>6549.1</v>
      </c>
      <c r="J27" s="29">
        <f>I27/F27*100</f>
        <v>100</v>
      </c>
      <c r="S27" s="10">
        <f t="shared" si="3"/>
        <v>0</v>
      </c>
      <c r="T27" s="10">
        <f t="shared" si="4"/>
        <v>0</v>
      </c>
      <c r="U27" s="10">
        <f t="shared" si="5"/>
        <v>0</v>
      </c>
      <c r="V27" s="10">
        <f t="shared" si="6"/>
        <v>0</v>
      </c>
      <c r="W27" s="10">
        <f t="shared" si="7"/>
        <v>0</v>
      </c>
      <c r="X27" s="49">
        <f t="shared" si="8"/>
        <v>0</v>
      </c>
      <c r="Y27" s="49">
        <f t="shared" si="9"/>
        <v>0</v>
      </c>
      <c r="Z27" s="49">
        <f t="shared" si="10"/>
        <v>0</v>
      </c>
      <c r="AA27" s="49">
        <f t="shared" si="11"/>
        <v>0</v>
      </c>
      <c r="AB27" s="49">
        <f t="shared" si="12"/>
        <v>0</v>
      </c>
    </row>
    <row r="28" spans="1:28" s="5" customFormat="1" ht="49.5" customHeight="1">
      <c r="A28" s="61"/>
      <c r="B28" s="34" t="s">
        <v>136</v>
      </c>
      <c r="C28" s="64"/>
      <c r="D28" s="25">
        <v>937.1</v>
      </c>
      <c r="E28" s="29"/>
      <c r="F28" s="29">
        <f>D28+E28</f>
        <v>937.1</v>
      </c>
      <c r="G28" s="25">
        <v>892.1</v>
      </c>
      <c r="H28" s="25"/>
      <c r="I28" s="29">
        <f>+G28+H28</f>
        <v>892.1</v>
      </c>
      <c r="J28" s="29">
        <f>I28/F28*100</f>
        <v>95.197951125813688</v>
      </c>
      <c r="S28" s="10"/>
      <c r="T28" s="10"/>
      <c r="U28" s="10"/>
      <c r="V28" s="10"/>
      <c r="W28" s="10"/>
      <c r="X28" s="49"/>
      <c r="Y28" s="49"/>
      <c r="Z28" s="49"/>
      <c r="AA28" s="49"/>
      <c r="AB28" s="49"/>
    </row>
    <row r="29" spans="1:28" s="5" customFormat="1" ht="39.6" customHeight="1">
      <c r="A29" s="66" t="s">
        <v>53</v>
      </c>
      <c r="B29" s="66"/>
      <c r="C29" s="66"/>
      <c r="D29" s="26">
        <f>+D30</f>
        <v>0</v>
      </c>
      <c r="E29" s="26">
        <f>+E30</f>
        <v>24250</v>
      </c>
      <c r="F29" s="30">
        <f>E29+D29</f>
        <v>24250</v>
      </c>
      <c r="G29" s="26">
        <f>+G30</f>
        <v>0</v>
      </c>
      <c r="H29" s="26">
        <f>+H30</f>
        <v>18050</v>
      </c>
      <c r="I29" s="30">
        <f>H29+G29</f>
        <v>18050</v>
      </c>
      <c r="J29" s="30">
        <f t="shared" si="15"/>
        <v>74.432989690721655</v>
      </c>
      <c r="S29" s="10">
        <f t="shared" si="3"/>
        <v>0</v>
      </c>
      <c r="T29" s="10">
        <f t="shared" si="4"/>
        <v>0</v>
      </c>
      <c r="U29" s="10">
        <f t="shared" si="5"/>
        <v>0</v>
      </c>
      <c r="V29" s="10">
        <f t="shared" si="6"/>
        <v>0</v>
      </c>
      <c r="W29" s="10">
        <f t="shared" si="7"/>
        <v>0</v>
      </c>
      <c r="X29" s="49">
        <f t="shared" si="8"/>
        <v>0</v>
      </c>
      <c r="Y29" s="49">
        <f t="shared" si="9"/>
        <v>0</v>
      </c>
      <c r="Z29" s="49">
        <f t="shared" si="10"/>
        <v>0</v>
      </c>
      <c r="AA29" s="49">
        <f t="shared" si="11"/>
        <v>0</v>
      </c>
      <c r="AB29" s="49">
        <f t="shared" si="12"/>
        <v>0</v>
      </c>
    </row>
    <row r="30" spans="1:28" s="5" customFormat="1" ht="76.2" customHeight="1">
      <c r="A30" s="39" t="s">
        <v>25</v>
      </c>
      <c r="B30" s="44" t="s">
        <v>124</v>
      </c>
      <c r="C30" s="25" t="s">
        <v>53</v>
      </c>
      <c r="D30" s="25"/>
      <c r="E30" s="29">
        <f>19800+4450</f>
        <v>24250</v>
      </c>
      <c r="F30" s="29">
        <f>D30+E30</f>
        <v>24250</v>
      </c>
      <c r="G30" s="29"/>
      <c r="H30" s="25">
        <f>6600+6600+4850</f>
        <v>18050</v>
      </c>
      <c r="I30" s="29">
        <f>G30+H30</f>
        <v>18050</v>
      </c>
      <c r="J30" s="29">
        <f t="shared" si="15"/>
        <v>74.432989690721655</v>
      </c>
      <c r="S30" s="10">
        <f t="shared" si="3"/>
        <v>0</v>
      </c>
      <c r="T30" s="10">
        <f t="shared" si="4"/>
        <v>0</v>
      </c>
      <c r="U30" s="10">
        <f t="shared" si="5"/>
        <v>0</v>
      </c>
      <c r="V30" s="10">
        <f t="shared" si="6"/>
        <v>1</v>
      </c>
      <c r="W30" s="10">
        <f t="shared" si="7"/>
        <v>0</v>
      </c>
      <c r="X30" s="49">
        <f t="shared" si="8"/>
        <v>0</v>
      </c>
      <c r="Y30" s="49">
        <f t="shared" si="9"/>
        <v>0</v>
      </c>
      <c r="Z30" s="49">
        <f t="shared" si="10"/>
        <v>0</v>
      </c>
      <c r="AA30" s="49">
        <f t="shared" si="11"/>
        <v>18050</v>
      </c>
      <c r="AB30" s="49">
        <f t="shared" si="12"/>
        <v>0</v>
      </c>
    </row>
    <row r="31" spans="1:28" s="5" customFormat="1" ht="52.2" customHeight="1">
      <c r="A31" s="66" t="s">
        <v>54</v>
      </c>
      <c r="B31" s="66"/>
      <c r="C31" s="66"/>
      <c r="D31" s="30">
        <f>+D32+D35+D36+D37+D38+D9</f>
        <v>30755</v>
      </c>
      <c r="E31" s="30">
        <f>+E32+E35+E36+E37+E38</f>
        <v>2400</v>
      </c>
      <c r="F31" s="30">
        <f>E31+D31</f>
        <v>33155</v>
      </c>
      <c r="G31" s="30">
        <f>+G32+G35+G36+G37+G38+G9</f>
        <v>19522.748999999996</v>
      </c>
      <c r="H31" s="30">
        <f>+H32+H35+H36+H37+H38+H9</f>
        <v>285</v>
      </c>
      <c r="I31" s="30">
        <f>H31+G31</f>
        <v>19807.748999999996</v>
      </c>
      <c r="J31" s="30">
        <f t="shared" si="15"/>
        <v>59.742871361785546</v>
      </c>
      <c r="S31" s="10">
        <f t="shared" si="3"/>
        <v>0</v>
      </c>
      <c r="T31" s="10">
        <f t="shared" si="4"/>
        <v>0</v>
      </c>
      <c r="U31" s="10">
        <f t="shared" si="5"/>
        <v>0</v>
      </c>
      <c r="V31" s="10">
        <f t="shared" si="6"/>
        <v>0</v>
      </c>
      <c r="W31" s="10">
        <f t="shared" si="7"/>
        <v>0</v>
      </c>
      <c r="X31" s="49">
        <f t="shared" si="8"/>
        <v>0</v>
      </c>
      <c r="Y31" s="49">
        <f t="shared" si="9"/>
        <v>0</v>
      </c>
      <c r="Z31" s="49">
        <f t="shared" si="10"/>
        <v>0</v>
      </c>
      <c r="AA31" s="49">
        <f t="shared" si="11"/>
        <v>0</v>
      </c>
      <c r="AB31" s="49">
        <f t="shared" si="12"/>
        <v>0</v>
      </c>
    </row>
    <row r="32" spans="1:28" s="5" customFormat="1" ht="85.2" customHeight="1">
      <c r="A32" s="45">
        <v>7</v>
      </c>
      <c r="B32" s="44" t="s">
        <v>55</v>
      </c>
      <c r="C32" s="25" t="s">
        <v>54</v>
      </c>
      <c r="D32" s="29">
        <v>1500</v>
      </c>
      <c r="E32" s="29"/>
      <c r="F32" s="29">
        <f>E32+D32</f>
        <v>1500</v>
      </c>
      <c r="G32" s="29">
        <f>6.9+6.3+18+10+95.7+40+33+128.7+34.5+36.5+58+54.9+18.4+96.3+71.9+20.8</f>
        <v>729.89999999999986</v>
      </c>
      <c r="H32" s="29"/>
      <c r="I32" s="29">
        <f>H32+G32</f>
        <v>729.89999999999986</v>
      </c>
      <c r="J32" s="29">
        <f t="shared" si="15"/>
        <v>48.659999999999989</v>
      </c>
      <c r="S32" s="10">
        <f t="shared" si="3"/>
        <v>0</v>
      </c>
      <c r="T32" s="10">
        <f t="shared" si="4"/>
        <v>0</v>
      </c>
      <c r="U32" s="10">
        <f t="shared" si="5"/>
        <v>1</v>
      </c>
      <c r="V32" s="10">
        <f t="shared" si="6"/>
        <v>0</v>
      </c>
      <c r="W32" s="10">
        <f t="shared" si="7"/>
        <v>0</v>
      </c>
      <c r="X32" s="49">
        <f t="shared" si="8"/>
        <v>0</v>
      </c>
      <c r="Y32" s="49">
        <f t="shared" si="9"/>
        <v>0</v>
      </c>
      <c r="Z32" s="49">
        <f t="shared" si="10"/>
        <v>729.89999999999986</v>
      </c>
      <c r="AA32" s="49">
        <f t="shared" si="11"/>
        <v>0</v>
      </c>
      <c r="AB32" s="49">
        <f t="shared" si="12"/>
        <v>0</v>
      </c>
    </row>
    <row r="33" spans="1:28" s="5" customFormat="1" ht="150" customHeight="1">
      <c r="A33" s="58" t="s">
        <v>26</v>
      </c>
      <c r="B33" s="44" t="s">
        <v>79</v>
      </c>
      <c r="C33" s="37" t="s">
        <v>65</v>
      </c>
      <c r="D33" s="24">
        <f>+D34+D35+D36+D37+D38</f>
        <v>27405</v>
      </c>
      <c r="E33" s="24">
        <f>+E34+E35+E36+E37+E38</f>
        <v>2400</v>
      </c>
      <c r="F33" s="32">
        <f t="shared" ref="F33:F38" si="16">D33+E33</f>
        <v>29805</v>
      </c>
      <c r="G33" s="24">
        <f>+G34+G35+G36+G37+G38</f>
        <v>17820.039999999997</v>
      </c>
      <c r="H33" s="24">
        <f>+H34+H35+H36+H37+H38</f>
        <v>285</v>
      </c>
      <c r="I33" s="32">
        <f t="shared" ref="I33:I38" si="17">G33+H33</f>
        <v>18105.039999999997</v>
      </c>
      <c r="J33" s="32">
        <f t="shared" ref="J33:J40" si="18">I33/F33*100</f>
        <v>60.744975675222271</v>
      </c>
      <c r="S33" s="10">
        <f t="shared" si="3"/>
        <v>0</v>
      </c>
      <c r="T33" s="10">
        <f t="shared" si="4"/>
        <v>0</v>
      </c>
      <c r="U33" s="10">
        <f t="shared" si="5"/>
        <v>1</v>
      </c>
      <c r="V33" s="10">
        <f t="shared" si="6"/>
        <v>0</v>
      </c>
      <c r="W33" s="10">
        <f t="shared" si="7"/>
        <v>0</v>
      </c>
      <c r="X33" s="49">
        <f t="shared" si="8"/>
        <v>0</v>
      </c>
      <c r="Y33" s="49">
        <f t="shared" si="9"/>
        <v>0</v>
      </c>
      <c r="Z33" s="49">
        <f t="shared" si="10"/>
        <v>18105.039999999997</v>
      </c>
      <c r="AA33" s="49">
        <f t="shared" si="11"/>
        <v>0</v>
      </c>
      <c r="AB33" s="49">
        <f t="shared" si="12"/>
        <v>0</v>
      </c>
    </row>
    <row r="34" spans="1:28" s="5" customFormat="1" ht="68.400000000000006" customHeight="1">
      <c r="A34" s="58"/>
      <c r="B34" s="62" t="s">
        <v>101</v>
      </c>
      <c r="C34" s="25" t="s">
        <v>75</v>
      </c>
      <c r="D34" s="25">
        <v>450</v>
      </c>
      <c r="E34" s="25"/>
      <c r="F34" s="29">
        <f t="shared" si="16"/>
        <v>450</v>
      </c>
      <c r="G34" s="25">
        <v>196</v>
      </c>
      <c r="H34" s="25"/>
      <c r="I34" s="29">
        <f>G34+H34</f>
        <v>196</v>
      </c>
      <c r="J34" s="29">
        <f t="shared" si="18"/>
        <v>43.55555555555555</v>
      </c>
      <c r="S34" s="10">
        <f t="shared" si="3"/>
        <v>0</v>
      </c>
      <c r="T34" s="10">
        <f t="shared" si="4"/>
        <v>0</v>
      </c>
      <c r="U34" s="10">
        <f t="shared" si="5"/>
        <v>0</v>
      </c>
      <c r="V34" s="10">
        <f t="shared" si="6"/>
        <v>0</v>
      </c>
      <c r="W34" s="10">
        <f t="shared" si="7"/>
        <v>0</v>
      </c>
      <c r="X34" s="49">
        <f t="shared" si="8"/>
        <v>0</v>
      </c>
      <c r="Y34" s="49">
        <f t="shared" si="9"/>
        <v>0</v>
      </c>
      <c r="Z34" s="49">
        <f t="shared" si="10"/>
        <v>0</v>
      </c>
      <c r="AA34" s="49">
        <f t="shared" si="11"/>
        <v>0</v>
      </c>
      <c r="AB34" s="49">
        <f t="shared" si="12"/>
        <v>0</v>
      </c>
    </row>
    <row r="35" spans="1:28" s="5" customFormat="1" ht="82.8" customHeight="1">
      <c r="A35" s="58"/>
      <c r="B35" s="62"/>
      <c r="C35" s="25" t="s">
        <v>54</v>
      </c>
      <c r="D35" s="25">
        <f>3920+300</f>
        <v>4220</v>
      </c>
      <c r="E35" s="25"/>
      <c r="F35" s="25">
        <f t="shared" si="16"/>
        <v>4220</v>
      </c>
      <c r="G35" s="25">
        <f>138.9+46.2+3.5+8.8+8+56.5+42.6+116.2+107+68.5+57.9+21.7+23.3+57.5+2000+229.9+8.8+77.7+55.2+38+29.2</f>
        <v>3195.3999999999996</v>
      </c>
      <c r="H35" s="25"/>
      <c r="I35" s="29">
        <f>G35+H35</f>
        <v>3195.3999999999996</v>
      </c>
      <c r="J35" s="29">
        <f t="shared" si="18"/>
        <v>75.720379146919427</v>
      </c>
      <c r="S35" s="10">
        <f t="shared" si="3"/>
        <v>0</v>
      </c>
      <c r="T35" s="10">
        <f t="shared" si="4"/>
        <v>0</v>
      </c>
      <c r="U35" s="10">
        <f t="shared" si="5"/>
        <v>0</v>
      </c>
      <c r="V35" s="10">
        <f t="shared" si="6"/>
        <v>0</v>
      </c>
      <c r="W35" s="10">
        <f t="shared" si="7"/>
        <v>0</v>
      </c>
      <c r="X35" s="49">
        <f t="shared" si="8"/>
        <v>0</v>
      </c>
      <c r="Y35" s="49">
        <f t="shared" si="9"/>
        <v>0</v>
      </c>
      <c r="Z35" s="49">
        <f t="shared" si="10"/>
        <v>0</v>
      </c>
      <c r="AA35" s="49">
        <f t="shared" si="11"/>
        <v>0</v>
      </c>
      <c r="AB35" s="49">
        <f t="shared" si="12"/>
        <v>0</v>
      </c>
    </row>
    <row r="36" spans="1:28" s="5" customFormat="1" ht="90" customHeight="1">
      <c r="A36" s="58"/>
      <c r="B36" s="25" t="s">
        <v>100</v>
      </c>
      <c r="C36" s="25" t="s">
        <v>54</v>
      </c>
      <c r="D36" s="25"/>
      <c r="E36" s="25">
        <v>700</v>
      </c>
      <c r="F36" s="29">
        <f t="shared" si="16"/>
        <v>700</v>
      </c>
      <c r="G36" s="29"/>
      <c r="H36" s="29">
        <f>210+50+25</f>
        <v>285</v>
      </c>
      <c r="I36" s="29">
        <f t="shared" si="17"/>
        <v>285</v>
      </c>
      <c r="J36" s="29">
        <f t="shared" si="18"/>
        <v>40.714285714285715</v>
      </c>
      <c r="S36" s="10">
        <f t="shared" si="3"/>
        <v>0</v>
      </c>
      <c r="T36" s="10">
        <f t="shared" si="4"/>
        <v>0</v>
      </c>
      <c r="U36" s="10">
        <f t="shared" si="5"/>
        <v>0</v>
      </c>
      <c r="V36" s="10">
        <f t="shared" si="6"/>
        <v>0</v>
      </c>
      <c r="W36" s="10">
        <f t="shared" si="7"/>
        <v>0</v>
      </c>
      <c r="X36" s="49">
        <f t="shared" si="8"/>
        <v>0</v>
      </c>
      <c r="Y36" s="49">
        <f t="shared" si="9"/>
        <v>0</v>
      </c>
      <c r="Z36" s="49">
        <f t="shared" si="10"/>
        <v>0</v>
      </c>
      <c r="AA36" s="49">
        <f t="shared" si="11"/>
        <v>0</v>
      </c>
      <c r="AB36" s="49">
        <f t="shared" si="12"/>
        <v>0</v>
      </c>
    </row>
    <row r="37" spans="1:28" s="5" customFormat="1" ht="99" customHeight="1">
      <c r="A37" s="58"/>
      <c r="B37" s="25" t="s">
        <v>102</v>
      </c>
      <c r="C37" s="25" t="s">
        <v>54</v>
      </c>
      <c r="D37" s="25">
        <f>17800+3140+1000</f>
        <v>21940</v>
      </c>
      <c r="E37" s="25">
        <v>1700</v>
      </c>
      <c r="F37" s="29">
        <f t="shared" si="16"/>
        <v>23640</v>
      </c>
      <c r="G37" s="29">
        <f>1845.9+18.4+228+918.1+71.7+886.9+386.4+197.6+453.7+776.4+499.8+1036.8+261.5+825.3+113+51.8+322.9+1356+10+247.9+820.2+212.3+1003.8+17.4+33.5+200.8+10+942.7+476.7</f>
        <v>14225.499999999998</v>
      </c>
      <c r="H37" s="29"/>
      <c r="I37" s="29">
        <f t="shared" si="17"/>
        <v>14225.499999999998</v>
      </c>
      <c r="J37" s="29">
        <f t="shared" si="18"/>
        <v>60.175549915397617</v>
      </c>
      <c r="S37" s="10">
        <f t="shared" si="3"/>
        <v>0</v>
      </c>
      <c r="T37" s="10">
        <f t="shared" si="4"/>
        <v>0</v>
      </c>
      <c r="U37" s="10">
        <f t="shared" si="5"/>
        <v>0</v>
      </c>
      <c r="V37" s="10">
        <f t="shared" si="6"/>
        <v>0</v>
      </c>
      <c r="W37" s="10">
        <f t="shared" si="7"/>
        <v>0</v>
      </c>
      <c r="X37" s="49">
        <f t="shared" si="8"/>
        <v>0</v>
      </c>
      <c r="Y37" s="49">
        <f t="shared" si="9"/>
        <v>0</v>
      </c>
      <c r="Z37" s="49">
        <f t="shared" si="10"/>
        <v>0</v>
      </c>
      <c r="AA37" s="49">
        <f t="shared" si="11"/>
        <v>0</v>
      </c>
      <c r="AB37" s="49">
        <f t="shared" si="12"/>
        <v>0</v>
      </c>
    </row>
    <row r="38" spans="1:28" s="5" customFormat="1" ht="94.8" customHeight="1">
      <c r="A38" s="58"/>
      <c r="B38" s="34" t="s">
        <v>27</v>
      </c>
      <c r="C38" s="25" t="s">
        <v>54</v>
      </c>
      <c r="D38" s="25">
        <v>795</v>
      </c>
      <c r="E38" s="25"/>
      <c r="F38" s="29">
        <f t="shared" si="16"/>
        <v>795</v>
      </c>
      <c r="G38" s="29">
        <f>18+25+20+10+8+2.6+14.9+33+10+14+10.14+37.5</f>
        <v>203.14</v>
      </c>
      <c r="H38" s="29"/>
      <c r="I38" s="29">
        <f t="shared" si="17"/>
        <v>203.14</v>
      </c>
      <c r="J38" s="29">
        <f t="shared" si="18"/>
        <v>25.552201257861633</v>
      </c>
      <c r="S38" s="10">
        <f t="shared" si="3"/>
        <v>0</v>
      </c>
      <c r="T38" s="10">
        <f t="shared" si="4"/>
        <v>0</v>
      </c>
      <c r="U38" s="10">
        <f t="shared" si="5"/>
        <v>0</v>
      </c>
      <c r="V38" s="10">
        <f t="shared" si="6"/>
        <v>0</v>
      </c>
      <c r="W38" s="10">
        <f t="shared" si="7"/>
        <v>0</v>
      </c>
      <c r="X38" s="49">
        <f t="shared" si="8"/>
        <v>0</v>
      </c>
      <c r="Y38" s="49">
        <f t="shared" si="9"/>
        <v>0</v>
      </c>
      <c r="Z38" s="49">
        <f t="shared" si="10"/>
        <v>0</v>
      </c>
      <c r="AA38" s="49">
        <f t="shared" si="11"/>
        <v>0</v>
      </c>
      <c r="AB38" s="49">
        <f t="shared" si="12"/>
        <v>0</v>
      </c>
    </row>
    <row r="39" spans="1:28" s="5" customFormat="1" ht="69.599999999999994" customHeight="1">
      <c r="A39" s="56" t="s">
        <v>60</v>
      </c>
      <c r="B39" s="56"/>
      <c r="C39" s="56"/>
      <c r="D39" s="30">
        <f>+D40</f>
        <v>17239</v>
      </c>
      <c r="E39" s="30">
        <f>+E40</f>
        <v>1161</v>
      </c>
      <c r="F39" s="30">
        <f>E39+D39</f>
        <v>18400</v>
      </c>
      <c r="G39" s="30">
        <f>+G40</f>
        <v>1042.1979999999999</v>
      </c>
      <c r="H39" s="30">
        <f>+H40</f>
        <v>494</v>
      </c>
      <c r="I39" s="30">
        <f>H39+G39</f>
        <v>1536.1979999999999</v>
      </c>
      <c r="J39" s="30">
        <f>I39/F39*100</f>
        <v>8.3489021739130429</v>
      </c>
      <c r="S39" s="10">
        <f t="shared" si="3"/>
        <v>0</v>
      </c>
      <c r="T39" s="10">
        <f t="shared" si="4"/>
        <v>0</v>
      </c>
      <c r="U39" s="10">
        <f t="shared" si="5"/>
        <v>0</v>
      </c>
      <c r="V39" s="10">
        <f t="shared" si="6"/>
        <v>0</v>
      </c>
      <c r="W39" s="10">
        <f t="shared" si="7"/>
        <v>0</v>
      </c>
      <c r="X39" s="49">
        <f t="shared" si="8"/>
        <v>0</v>
      </c>
      <c r="Y39" s="49">
        <f t="shared" si="9"/>
        <v>0</v>
      </c>
      <c r="Z39" s="49">
        <f t="shared" si="10"/>
        <v>0</v>
      </c>
      <c r="AA39" s="49">
        <f t="shared" si="11"/>
        <v>0</v>
      </c>
      <c r="AB39" s="49">
        <f t="shared" si="12"/>
        <v>0</v>
      </c>
    </row>
    <row r="40" spans="1:28" s="5" customFormat="1" ht="144.6" customHeight="1">
      <c r="A40" s="67">
        <v>9</v>
      </c>
      <c r="B40" s="1" t="s">
        <v>103</v>
      </c>
      <c r="C40" s="37" t="s">
        <v>65</v>
      </c>
      <c r="D40" s="25">
        <f>+D41+D42</f>
        <v>17239</v>
      </c>
      <c r="E40" s="25">
        <f>+E41+E42</f>
        <v>1161</v>
      </c>
      <c r="F40" s="29">
        <f>D40+E40</f>
        <v>18400</v>
      </c>
      <c r="G40" s="25">
        <f>+G41+G42</f>
        <v>1042.1979999999999</v>
      </c>
      <c r="H40" s="25">
        <f>+H41+H42</f>
        <v>494</v>
      </c>
      <c r="I40" s="29">
        <f>G40+H40</f>
        <v>1536.1979999999999</v>
      </c>
      <c r="J40" s="29">
        <f t="shared" si="18"/>
        <v>8.3489021739130429</v>
      </c>
      <c r="S40" s="10">
        <f t="shared" si="3"/>
        <v>0</v>
      </c>
      <c r="T40" s="10">
        <f t="shared" si="4"/>
        <v>1</v>
      </c>
      <c r="U40" s="10">
        <f t="shared" si="5"/>
        <v>0</v>
      </c>
      <c r="V40" s="10">
        <f t="shared" si="6"/>
        <v>0</v>
      </c>
      <c r="W40" s="10">
        <f t="shared" si="7"/>
        <v>0</v>
      </c>
      <c r="X40" s="49">
        <f t="shared" si="8"/>
        <v>0</v>
      </c>
      <c r="Y40" s="49">
        <f t="shared" si="9"/>
        <v>1536.1979999999999</v>
      </c>
      <c r="Z40" s="49">
        <f t="shared" si="10"/>
        <v>0</v>
      </c>
      <c r="AA40" s="49">
        <f t="shared" si="11"/>
        <v>0</v>
      </c>
      <c r="AB40" s="49">
        <f t="shared" si="12"/>
        <v>0</v>
      </c>
    </row>
    <row r="41" spans="1:28" s="5" customFormat="1" ht="144.6" customHeight="1">
      <c r="A41" s="68"/>
      <c r="B41" s="52"/>
      <c r="C41" s="63" t="s">
        <v>60</v>
      </c>
      <c r="D41" s="25">
        <f>17400-733</f>
        <v>16667</v>
      </c>
      <c r="E41" s="25">
        <f>1000-485</f>
        <v>515</v>
      </c>
      <c r="F41" s="29">
        <f>D41+E41</f>
        <v>17182</v>
      </c>
      <c r="G41" s="25">
        <f>38.698+9.9+41.729+24.471+42.22+4.3+2.1+18.88+48.4+42.5+197</f>
        <v>470.19799999999998</v>
      </c>
      <c r="H41" s="25">
        <v>275</v>
      </c>
      <c r="I41" s="29">
        <f>G41+H41</f>
        <v>745.19799999999998</v>
      </c>
      <c r="J41" s="29">
        <f>I41/F41*100</f>
        <v>4.3370853218484458</v>
      </c>
      <c r="S41" s="10"/>
      <c r="T41" s="10"/>
      <c r="U41" s="10"/>
      <c r="V41" s="10"/>
      <c r="W41" s="10"/>
      <c r="X41" s="49"/>
      <c r="Y41" s="49"/>
      <c r="Z41" s="49"/>
      <c r="AA41" s="49"/>
      <c r="AB41" s="49"/>
    </row>
    <row r="42" spans="1:28" s="5" customFormat="1" ht="125.25" customHeight="1">
      <c r="A42" s="69"/>
      <c r="B42" s="47" t="s">
        <v>137</v>
      </c>
      <c r="C42" s="64"/>
      <c r="D42" s="25">
        <v>572</v>
      </c>
      <c r="E42" s="25">
        <v>646</v>
      </c>
      <c r="F42" s="29">
        <f>D42+E42</f>
        <v>1218</v>
      </c>
      <c r="G42" s="25">
        <v>572</v>
      </c>
      <c r="H42" s="25">
        <v>219</v>
      </c>
      <c r="I42" s="29">
        <f>G42+H42</f>
        <v>791</v>
      </c>
      <c r="J42" s="29">
        <f>I42/F42*100</f>
        <v>64.942528735632195</v>
      </c>
      <c r="S42" s="10">
        <f t="shared" si="3"/>
        <v>0</v>
      </c>
      <c r="T42" s="10">
        <f t="shared" si="4"/>
        <v>0</v>
      </c>
      <c r="U42" s="10">
        <f t="shared" si="5"/>
        <v>0</v>
      </c>
      <c r="V42" s="10">
        <f t="shared" si="6"/>
        <v>0</v>
      </c>
      <c r="W42" s="10">
        <f t="shared" si="7"/>
        <v>0</v>
      </c>
      <c r="X42" s="49">
        <f t="shared" si="8"/>
        <v>0</v>
      </c>
      <c r="Y42" s="49">
        <f t="shared" si="9"/>
        <v>0</v>
      </c>
      <c r="Z42" s="49">
        <f t="shared" si="10"/>
        <v>0</v>
      </c>
      <c r="AA42" s="49">
        <f t="shared" si="11"/>
        <v>0</v>
      </c>
      <c r="AB42" s="49">
        <f t="shared" si="12"/>
        <v>0</v>
      </c>
    </row>
    <row r="43" spans="1:28" s="5" customFormat="1" ht="57" customHeight="1">
      <c r="A43" s="56" t="s">
        <v>24</v>
      </c>
      <c r="B43" s="56"/>
      <c r="C43" s="56"/>
      <c r="D43" s="26">
        <f>+D44+D107+D20</f>
        <v>129867</v>
      </c>
      <c r="E43" s="26">
        <f>+E44+E107+E20</f>
        <v>56731.5</v>
      </c>
      <c r="F43" s="30">
        <f>E43+D43</f>
        <v>186598.5</v>
      </c>
      <c r="G43" s="26">
        <f>+G44+G107+G20</f>
        <v>75726.700000000012</v>
      </c>
      <c r="H43" s="26">
        <f>+H44+H107+H20</f>
        <v>33210.400000000001</v>
      </c>
      <c r="I43" s="30">
        <f>H43+G43</f>
        <v>108937.1</v>
      </c>
      <c r="J43" s="30">
        <f t="shared" ref="J43:J50" si="19">I43/F43*100</f>
        <v>58.380480014576754</v>
      </c>
      <c r="S43" s="10">
        <f t="shared" si="3"/>
        <v>0</v>
      </c>
      <c r="T43" s="10">
        <f t="shared" si="4"/>
        <v>0</v>
      </c>
      <c r="U43" s="10">
        <f t="shared" si="5"/>
        <v>0</v>
      </c>
      <c r="V43" s="10">
        <f t="shared" si="6"/>
        <v>0</v>
      </c>
      <c r="W43" s="10">
        <f t="shared" si="7"/>
        <v>0</v>
      </c>
      <c r="X43" s="49">
        <f t="shared" si="8"/>
        <v>0</v>
      </c>
      <c r="Y43" s="49">
        <f t="shared" si="9"/>
        <v>0</v>
      </c>
      <c r="Z43" s="49">
        <f t="shared" si="10"/>
        <v>0</v>
      </c>
      <c r="AA43" s="49">
        <f t="shared" si="11"/>
        <v>0</v>
      </c>
      <c r="AB43" s="49">
        <f t="shared" si="12"/>
        <v>0</v>
      </c>
    </row>
    <row r="44" spans="1:28" s="5" customFormat="1" ht="95.25" customHeight="1">
      <c r="A44" s="57" t="s">
        <v>123</v>
      </c>
      <c r="B44" s="38" t="s">
        <v>86</v>
      </c>
      <c r="C44" s="37" t="s">
        <v>65</v>
      </c>
      <c r="D44" s="24">
        <f>+D45+D46+D47+D48+D50+D49</f>
        <v>129822</v>
      </c>
      <c r="E44" s="24">
        <f>+E45+E46+E47+E48+E50+E49</f>
        <v>45479</v>
      </c>
      <c r="F44" s="32">
        <f t="shared" ref="F44:F50" si="20">D44+E44</f>
        <v>175301</v>
      </c>
      <c r="G44" s="24">
        <f>+G45+G46+G47+G48+G50+G49</f>
        <v>75681.700000000012</v>
      </c>
      <c r="H44" s="24">
        <f>+H45+H46+H47+H48+H50+H49</f>
        <v>29259</v>
      </c>
      <c r="I44" s="32">
        <f t="shared" ref="I44:I50" si="21">G44+H44</f>
        <v>104940.70000000001</v>
      </c>
      <c r="J44" s="32">
        <f t="shared" si="19"/>
        <v>59.863149668284841</v>
      </c>
      <c r="S44" s="10">
        <f t="shared" si="3"/>
        <v>0</v>
      </c>
      <c r="T44" s="10">
        <f t="shared" si="4"/>
        <v>0</v>
      </c>
      <c r="U44" s="10">
        <f t="shared" si="5"/>
        <v>1</v>
      </c>
      <c r="V44" s="10">
        <f t="shared" si="6"/>
        <v>0</v>
      </c>
      <c r="W44" s="10">
        <f t="shared" si="7"/>
        <v>0</v>
      </c>
      <c r="X44" s="49">
        <f t="shared" si="8"/>
        <v>0</v>
      </c>
      <c r="Y44" s="49">
        <f t="shared" si="9"/>
        <v>0</v>
      </c>
      <c r="Z44" s="49">
        <f>IF(LEN($A44)=0,0,(IF(LEN($A44)&lt;=2,(IF($J44&gt;0,(IF(AND(($I44)/($F44)*100&gt;=30,($I44)/($F44)*100&lt;70),$I44,0)),0)),0)))</f>
        <v>104940.70000000001</v>
      </c>
      <c r="AA44" s="49">
        <f t="shared" si="11"/>
        <v>0</v>
      </c>
      <c r="AB44" s="49">
        <f t="shared" si="12"/>
        <v>0</v>
      </c>
    </row>
    <row r="45" spans="1:28" s="5" customFormat="1" ht="63.75" customHeight="1">
      <c r="A45" s="58"/>
      <c r="B45" s="34" t="s">
        <v>87</v>
      </c>
      <c r="C45" s="25" t="s">
        <v>24</v>
      </c>
      <c r="D45" s="25">
        <f>98855.7+823</f>
        <v>99678.7</v>
      </c>
      <c r="E45" s="26"/>
      <c r="F45" s="31">
        <f>D45+E45</f>
        <v>99678.7</v>
      </c>
      <c r="G45" s="27">
        <f>5479.5+4.4+2930.1+343.9+353.7+208.9+0.3+360.4+14162.1+622.8+55.9+5893.5+2561.5+1906.6+43.6+6677.8+859.4+64.6+265+47.5+8896.4+336+8385.2+3490.3+80.4+185.4</f>
        <v>64215.200000000012</v>
      </c>
      <c r="H45" s="23"/>
      <c r="I45" s="29">
        <f t="shared" si="21"/>
        <v>64215.200000000012</v>
      </c>
      <c r="J45" s="29">
        <f t="shared" si="19"/>
        <v>64.422188491623601</v>
      </c>
      <c r="S45" s="10">
        <f t="shared" si="3"/>
        <v>0</v>
      </c>
      <c r="T45" s="10">
        <f t="shared" si="4"/>
        <v>0</v>
      </c>
      <c r="U45" s="10">
        <f t="shared" si="5"/>
        <v>0</v>
      </c>
      <c r="V45" s="10">
        <f t="shared" si="6"/>
        <v>0</v>
      </c>
      <c r="W45" s="10">
        <f t="shared" si="7"/>
        <v>0</v>
      </c>
      <c r="X45" s="49">
        <f t="shared" si="8"/>
        <v>0</v>
      </c>
      <c r="Y45" s="49">
        <f t="shared" si="9"/>
        <v>0</v>
      </c>
      <c r="Z45" s="49">
        <f t="shared" si="10"/>
        <v>0</v>
      </c>
      <c r="AA45" s="49">
        <f t="shared" si="11"/>
        <v>0</v>
      </c>
      <c r="AB45" s="49">
        <f t="shared" si="12"/>
        <v>0</v>
      </c>
    </row>
    <row r="46" spans="1:28" s="5" customFormat="1" ht="150.75" customHeight="1">
      <c r="A46" s="58"/>
      <c r="B46" s="34" t="s">
        <v>88</v>
      </c>
      <c r="C46" s="25" t="s">
        <v>24</v>
      </c>
      <c r="D46" s="25">
        <v>22522.3</v>
      </c>
      <c r="E46" s="26"/>
      <c r="F46" s="31">
        <f t="shared" si="20"/>
        <v>22522.3</v>
      </c>
      <c r="G46" s="27">
        <f>304.2+1401.6+440.6+253.1+1298.8+544.7+444.3+1752.5+103.8+103.6+1051.8+1461.2+381.7</f>
        <v>9541.9000000000015</v>
      </c>
      <c r="H46" s="23"/>
      <c r="I46" s="29">
        <f t="shared" si="21"/>
        <v>9541.9000000000015</v>
      </c>
      <c r="J46" s="29">
        <f t="shared" si="19"/>
        <v>42.366454580571258</v>
      </c>
      <c r="S46" s="10">
        <f t="shared" si="3"/>
        <v>0</v>
      </c>
      <c r="T46" s="10">
        <f t="shared" si="4"/>
        <v>0</v>
      </c>
      <c r="U46" s="10">
        <f t="shared" si="5"/>
        <v>0</v>
      </c>
      <c r="V46" s="10">
        <f t="shared" si="6"/>
        <v>0</v>
      </c>
      <c r="W46" s="10">
        <f t="shared" si="7"/>
        <v>0</v>
      </c>
      <c r="X46" s="49">
        <f t="shared" si="8"/>
        <v>0</v>
      </c>
      <c r="Y46" s="49">
        <f t="shared" si="9"/>
        <v>0</v>
      </c>
      <c r="Z46" s="49">
        <f t="shared" si="10"/>
        <v>0</v>
      </c>
      <c r="AA46" s="49">
        <f t="shared" si="11"/>
        <v>0</v>
      </c>
      <c r="AB46" s="49">
        <f t="shared" si="12"/>
        <v>0</v>
      </c>
    </row>
    <row r="47" spans="1:28" s="5" customFormat="1" ht="94.5" customHeight="1">
      <c r="A47" s="58"/>
      <c r="B47" s="34" t="s">
        <v>89</v>
      </c>
      <c r="C47" s="25" t="s">
        <v>24</v>
      </c>
      <c r="D47" s="25">
        <v>5000</v>
      </c>
      <c r="E47" s="25">
        <v>5000</v>
      </c>
      <c r="F47" s="29">
        <f t="shared" si="20"/>
        <v>10000</v>
      </c>
      <c r="G47" s="25">
        <f>472.3+268.5+88+842.6+213.2</f>
        <v>1884.6000000000001</v>
      </c>
      <c r="H47" s="25">
        <f>3000+1999</f>
        <v>4999</v>
      </c>
      <c r="I47" s="31">
        <f t="shared" si="21"/>
        <v>6883.6</v>
      </c>
      <c r="J47" s="31">
        <f t="shared" si="19"/>
        <v>68.836000000000013</v>
      </c>
      <c r="S47" s="10">
        <f t="shared" si="3"/>
        <v>0</v>
      </c>
      <c r="T47" s="10">
        <f t="shared" si="4"/>
        <v>0</v>
      </c>
      <c r="U47" s="10">
        <f t="shared" si="5"/>
        <v>0</v>
      </c>
      <c r="V47" s="10">
        <f t="shared" si="6"/>
        <v>0</v>
      </c>
      <c r="W47" s="10">
        <f t="shared" si="7"/>
        <v>0</v>
      </c>
      <c r="X47" s="49">
        <f t="shared" si="8"/>
        <v>0</v>
      </c>
      <c r="Y47" s="49">
        <f t="shared" si="9"/>
        <v>0</v>
      </c>
      <c r="Z47" s="49">
        <f t="shared" si="10"/>
        <v>0</v>
      </c>
      <c r="AA47" s="49">
        <f t="shared" si="11"/>
        <v>0</v>
      </c>
      <c r="AB47" s="49">
        <f t="shared" si="12"/>
        <v>0</v>
      </c>
    </row>
    <row r="48" spans="1:28" s="5" customFormat="1" ht="130.5" customHeight="1">
      <c r="A48" s="57"/>
      <c r="B48" s="35" t="s">
        <v>90</v>
      </c>
      <c r="C48" s="27" t="s">
        <v>24</v>
      </c>
      <c r="D48" s="27">
        <v>2621</v>
      </c>
      <c r="E48" s="27">
        <v>18379</v>
      </c>
      <c r="F48" s="31">
        <f t="shared" si="20"/>
        <v>21000</v>
      </c>
      <c r="G48" s="27">
        <f>25+15</f>
        <v>40</v>
      </c>
      <c r="H48" s="27">
        <f>570+988.2+2511.7+5018.1+5590+1560</f>
        <v>16238</v>
      </c>
      <c r="I48" s="31">
        <f t="shared" si="21"/>
        <v>16278</v>
      </c>
      <c r="J48" s="31">
        <f t="shared" si="19"/>
        <v>77.51428571428572</v>
      </c>
      <c r="S48" s="10">
        <f t="shared" si="3"/>
        <v>0</v>
      </c>
      <c r="T48" s="10">
        <f t="shared" si="4"/>
        <v>0</v>
      </c>
      <c r="U48" s="10">
        <f t="shared" si="5"/>
        <v>0</v>
      </c>
      <c r="V48" s="10">
        <f t="shared" si="6"/>
        <v>0</v>
      </c>
      <c r="W48" s="10">
        <f t="shared" si="7"/>
        <v>0</v>
      </c>
      <c r="X48" s="49">
        <f t="shared" si="8"/>
        <v>0</v>
      </c>
      <c r="Y48" s="49">
        <f t="shared" si="9"/>
        <v>0</v>
      </c>
      <c r="Z48" s="49">
        <f t="shared" si="10"/>
        <v>0</v>
      </c>
      <c r="AA48" s="49">
        <f t="shared" si="11"/>
        <v>0</v>
      </c>
      <c r="AB48" s="49">
        <f t="shared" si="12"/>
        <v>0</v>
      </c>
    </row>
    <row r="49" spans="1:28" s="5" customFormat="1" ht="68.25" customHeight="1">
      <c r="A49" s="57"/>
      <c r="B49" s="35" t="s">
        <v>125</v>
      </c>
      <c r="C49" s="27" t="s">
        <v>24</v>
      </c>
      <c r="D49" s="27"/>
      <c r="E49" s="27">
        <f>4600+6900+4600</f>
        <v>16100</v>
      </c>
      <c r="F49" s="31">
        <f t="shared" si="20"/>
        <v>16100</v>
      </c>
      <c r="G49" s="27"/>
      <c r="H49" s="27">
        <v>8022</v>
      </c>
      <c r="I49" s="31">
        <f t="shared" si="21"/>
        <v>8022</v>
      </c>
      <c r="J49" s="31">
        <f t="shared" si="19"/>
        <v>49.826086956521735</v>
      </c>
      <c r="S49" s="10">
        <f t="shared" si="3"/>
        <v>0</v>
      </c>
      <c r="T49" s="10">
        <f t="shared" si="4"/>
        <v>0</v>
      </c>
      <c r="U49" s="10">
        <f t="shared" si="5"/>
        <v>0</v>
      </c>
      <c r="V49" s="10">
        <f t="shared" si="6"/>
        <v>0</v>
      </c>
      <c r="W49" s="10">
        <f t="shared" si="7"/>
        <v>0</v>
      </c>
      <c r="X49" s="49">
        <f t="shared" si="8"/>
        <v>0</v>
      </c>
      <c r="Y49" s="49">
        <f t="shared" si="9"/>
        <v>0</v>
      </c>
      <c r="Z49" s="49">
        <f t="shared" si="10"/>
        <v>0</v>
      </c>
      <c r="AA49" s="49">
        <f t="shared" si="11"/>
        <v>0</v>
      </c>
      <c r="AB49" s="49">
        <f t="shared" si="12"/>
        <v>0</v>
      </c>
    </row>
    <row r="50" spans="1:28" s="5" customFormat="1" ht="71.25" customHeight="1">
      <c r="A50" s="57"/>
      <c r="B50" s="35" t="s">
        <v>91</v>
      </c>
      <c r="C50" s="27" t="s">
        <v>24</v>
      </c>
      <c r="D50" s="27"/>
      <c r="E50" s="31">
        <v>6000</v>
      </c>
      <c r="F50" s="31">
        <f t="shared" si="20"/>
        <v>6000</v>
      </c>
      <c r="G50" s="31"/>
      <c r="H50" s="27"/>
      <c r="I50" s="31">
        <f t="shared" si="21"/>
        <v>0</v>
      </c>
      <c r="J50" s="31">
        <f t="shared" si="19"/>
        <v>0</v>
      </c>
      <c r="S50" s="10">
        <f t="shared" si="3"/>
        <v>0</v>
      </c>
      <c r="T50" s="10">
        <f t="shared" si="4"/>
        <v>0</v>
      </c>
      <c r="U50" s="10">
        <f t="shared" si="5"/>
        <v>0</v>
      </c>
      <c r="V50" s="10">
        <f t="shared" si="6"/>
        <v>0</v>
      </c>
      <c r="W50" s="10">
        <f t="shared" si="7"/>
        <v>0</v>
      </c>
      <c r="X50" s="49">
        <f t="shared" si="8"/>
        <v>0</v>
      </c>
      <c r="Y50" s="49">
        <f t="shared" si="9"/>
        <v>0</v>
      </c>
      <c r="Z50" s="49">
        <f t="shared" si="10"/>
        <v>0</v>
      </c>
      <c r="AA50" s="49">
        <f t="shared" si="11"/>
        <v>0</v>
      </c>
      <c r="AB50" s="49">
        <f t="shared" si="12"/>
        <v>0</v>
      </c>
    </row>
    <row r="51" spans="1:28" s="5" customFormat="1" ht="66.599999999999994" customHeight="1">
      <c r="A51" s="84" t="s">
        <v>11</v>
      </c>
      <c r="B51" s="84"/>
      <c r="C51" s="84"/>
      <c r="D51" s="28">
        <f>+D52+D57+D105</f>
        <v>83065.98000000001</v>
      </c>
      <c r="E51" s="28">
        <f>+E52+E57+E105</f>
        <v>15423.300000000001</v>
      </c>
      <c r="F51" s="28">
        <f>E51+D51</f>
        <v>98489.280000000013</v>
      </c>
      <c r="G51" s="28">
        <f>+G52+G57+G105</f>
        <v>45769.196999999993</v>
      </c>
      <c r="H51" s="28">
        <f>+H52+H57+H105</f>
        <v>8777.2999999999993</v>
      </c>
      <c r="I51" s="28">
        <f>H51+G51</f>
        <v>54546.496999999988</v>
      </c>
      <c r="J51" s="28">
        <f t="shared" ref="J51:J70" si="22">I51/F51*100</f>
        <v>55.383181804151661</v>
      </c>
      <c r="S51" s="10">
        <f t="shared" si="3"/>
        <v>0</v>
      </c>
      <c r="T51" s="10">
        <f t="shared" si="4"/>
        <v>0</v>
      </c>
      <c r="U51" s="10">
        <f t="shared" si="5"/>
        <v>0</v>
      </c>
      <c r="V51" s="10">
        <f t="shared" si="6"/>
        <v>0</v>
      </c>
      <c r="W51" s="10">
        <f t="shared" si="7"/>
        <v>0</v>
      </c>
      <c r="X51" s="49">
        <f t="shared" si="8"/>
        <v>0</v>
      </c>
      <c r="Y51" s="49">
        <f t="shared" si="9"/>
        <v>0</v>
      </c>
      <c r="Z51" s="49">
        <f t="shared" si="10"/>
        <v>0</v>
      </c>
      <c r="AA51" s="49">
        <f t="shared" si="11"/>
        <v>0</v>
      </c>
      <c r="AB51" s="49">
        <f t="shared" si="12"/>
        <v>0</v>
      </c>
    </row>
    <row r="52" spans="1:28" s="5" customFormat="1" ht="118.5" customHeight="1">
      <c r="A52" s="58" t="s">
        <v>117</v>
      </c>
      <c r="B52" s="38" t="s">
        <v>92</v>
      </c>
      <c r="C52" s="37" t="s">
        <v>65</v>
      </c>
      <c r="D52" s="24">
        <f>+D53+D54+D55+D56</f>
        <v>54553.98</v>
      </c>
      <c r="E52" s="24">
        <f>+E53+E54+E55+E56</f>
        <v>0</v>
      </c>
      <c r="F52" s="32">
        <f t="shared" ref="F52:F59" si="23">D52+E52</f>
        <v>54553.98</v>
      </c>
      <c r="G52" s="24">
        <f>+G53+G54+G55+G56</f>
        <v>34419.699999999997</v>
      </c>
      <c r="H52" s="24">
        <f>+H53+H54+H55+H56</f>
        <v>0</v>
      </c>
      <c r="I52" s="32">
        <f t="shared" ref="I52:I60" si="24">G52+H52</f>
        <v>34419.699999999997</v>
      </c>
      <c r="J52" s="32">
        <f t="shared" si="22"/>
        <v>63.092921909638847</v>
      </c>
      <c r="L52" s="12"/>
      <c r="M52" s="12"/>
      <c r="S52" s="10">
        <f t="shared" si="3"/>
        <v>0</v>
      </c>
      <c r="T52" s="10">
        <f t="shared" si="4"/>
        <v>0</v>
      </c>
      <c r="U52" s="10">
        <f t="shared" si="5"/>
        <v>1</v>
      </c>
      <c r="V52" s="10">
        <f t="shared" si="6"/>
        <v>0</v>
      </c>
      <c r="W52" s="10">
        <f t="shared" si="7"/>
        <v>0</v>
      </c>
      <c r="X52" s="49">
        <f t="shared" si="8"/>
        <v>0</v>
      </c>
      <c r="Y52" s="49">
        <f t="shared" si="9"/>
        <v>0</v>
      </c>
      <c r="Z52" s="49">
        <f t="shared" si="10"/>
        <v>34419.699999999997</v>
      </c>
      <c r="AA52" s="49">
        <f t="shared" si="11"/>
        <v>0</v>
      </c>
      <c r="AB52" s="49">
        <f t="shared" si="12"/>
        <v>0</v>
      </c>
    </row>
    <row r="53" spans="1:28" s="5" customFormat="1" ht="95.25" customHeight="1">
      <c r="A53" s="58"/>
      <c r="B53" s="34" t="s">
        <v>72</v>
      </c>
      <c r="C53" s="74" t="s">
        <v>11</v>
      </c>
      <c r="D53" s="25">
        <v>5000</v>
      </c>
      <c r="E53" s="29"/>
      <c r="F53" s="29">
        <f t="shared" si="23"/>
        <v>5000</v>
      </c>
      <c r="G53" s="29"/>
      <c r="H53" s="29"/>
      <c r="I53" s="29">
        <f t="shared" si="24"/>
        <v>0</v>
      </c>
      <c r="J53" s="29">
        <f t="shared" si="22"/>
        <v>0</v>
      </c>
      <c r="S53" s="10">
        <f t="shared" si="3"/>
        <v>0</v>
      </c>
      <c r="T53" s="10">
        <f t="shared" si="4"/>
        <v>0</v>
      </c>
      <c r="U53" s="10">
        <f t="shared" si="5"/>
        <v>0</v>
      </c>
      <c r="V53" s="10">
        <f t="shared" si="6"/>
        <v>0</v>
      </c>
      <c r="W53" s="10">
        <f t="shared" si="7"/>
        <v>0</v>
      </c>
      <c r="X53" s="49">
        <f t="shared" si="8"/>
        <v>0</v>
      </c>
      <c r="Y53" s="49">
        <f t="shared" si="9"/>
        <v>0</v>
      </c>
      <c r="Z53" s="49">
        <f t="shared" si="10"/>
        <v>0</v>
      </c>
      <c r="AA53" s="49">
        <f t="shared" si="11"/>
        <v>0</v>
      </c>
      <c r="AB53" s="49">
        <f t="shared" si="12"/>
        <v>0</v>
      </c>
    </row>
    <row r="54" spans="1:28" s="5" customFormat="1" ht="138.6" customHeight="1">
      <c r="A54" s="58"/>
      <c r="B54" s="34" t="s">
        <v>134</v>
      </c>
      <c r="C54" s="74"/>
      <c r="D54" s="25">
        <v>491.4</v>
      </c>
      <c r="E54" s="29"/>
      <c r="F54" s="29">
        <f t="shared" si="23"/>
        <v>491.4</v>
      </c>
      <c r="G54" s="29"/>
      <c r="H54" s="29"/>
      <c r="I54" s="29">
        <f t="shared" si="24"/>
        <v>0</v>
      </c>
      <c r="J54" s="29">
        <f t="shared" si="22"/>
        <v>0</v>
      </c>
      <c r="S54" s="10">
        <f t="shared" si="3"/>
        <v>0</v>
      </c>
      <c r="T54" s="10">
        <f t="shared" si="4"/>
        <v>0</v>
      </c>
      <c r="U54" s="10">
        <f t="shared" si="5"/>
        <v>0</v>
      </c>
      <c r="V54" s="10">
        <f t="shared" si="6"/>
        <v>0</v>
      </c>
      <c r="W54" s="10">
        <f t="shared" si="7"/>
        <v>0</v>
      </c>
      <c r="X54" s="49">
        <f t="shared" si="8"/>
        <v>0</v>
      </c>
      <c r="Y54" s="49">
        <f t="shared" si="9"/>
        <v>0</v>
      </c>
      <c r="Z54" s="49">
        <f t="shared" si="10"/>
        <v>0</v>
      </c>
      <c r="AA54" s="49">
        <f t="shared" si="11"/>
        <v>0</v>
      </c>
      <c r="AB54" s="49">
        <f t="shared" si="12"/>
        <v>0</v>
      </c>
    </row>
    <row r="55" spans="1:28" s="5" customFormat="1" ht="64.5" customHeight="1">
      <c r="A55" s="58"/>
      <c r="B55" s="34" t="s">
        <v>93</v>
      </c>
      <c r="C55" s="74"/>
      <c r="D55" s="25">
        <f>29334.58+3000+100</f>
        <v>32434.58</v>
      </c>
      <c r="E55" s="29"/>
      <c r="F55" s="29">
        <f>D55+E55</f>
        <v>32434.58</v>
      </c>
      <c r="G55" s="29">
        <f>856+107.3+348.8+623+1475.5+241.8+299+506.7+459.6+874.6+362.9+12.1+10389.3+7.5+5460.1+117.4+99.9+227.5+1176.4+75+122.6+1297.2+40.5+252.8+1205.5</f>
        <v>26639</v>
      </c>
      <c r="H55" s="29"/>
      <c r="I55" s="29">
        <f t="shared" si="24"/>
        <v>26639</v>
      </c>
      <c r="J55" s="29">
        <f t="shared" si="22"/>
        <v>82.131478193952262</v>
      </c>
      <c r="S55" s="10">
        <f t="shared" si="3"/>
        <v>0</v>
      </c>
      <c r="T55" s="10">
        <f t="shared" si="4"/>
        <v>0</v>
      </c>
      <c r="U55" s="10">
        <f t="shared" si="5"/>
        <v>0</v>
      </c>
      <c r="V55" s="10">
        <f t="shared" si="6"/>
        <v>0</v>
      </c>
      <c r="W55" s="10">
        <f t="shared" si="7"/>
        <v>0</v>
      </c>
      <c r="X55" s="49">
        <f t="shared" si="8"/>
        <v>0</v>
      </c>
      <c r="Y55" s="49">
        <f t="shared" si="9"/>
        <v>0</v>
      </c>
      <c r="Z55" s="49">
        <f t="shared" si="10"/>
        <v>0</v>
      </c>
      <c r="AA55" s="49">
        <f t="shared" si="11"/>
        <v>0</v>
      </c>
      <c r="AB55" s="49">
        <f t="shared" si="12"/>
        <v>0</v>
      </c>
    </row>
    <row r="56" spans="1:28" s="5" customFormat="1" ht="69.599999999999994" customHeight="1">
      <c r="A56" s="58"/>
      <c r="B56" s="34" t="s">
        <v>94</v>
      </c>
      <c r="C56" s="74"/>
      <c r="D56" s="25">
        <f>11628+5000</f>
        <v>16628</v>
      </c>
      <c r="E56" s="29"/>
      <c r="F56" s="29">
        <f t="shared" si="23"/>
        <v>16628</v>
      </c>
      <c r="G56" s="29">
        <f>4598.8+174.1+975.1+1323.7+709</f>
        <v>7780.7000000000007</v>
      </c>
      <c r="H56" s="29"/>
      <c r="I56" s="29">
        <f t="shared" si="24"/>
        <v>7780.7000000000007</v>
      </c>
      <c r="J56" s="29">
        <f t="shared" si="22"/>
        <v>46.792759201347131</v>
      </c>
      <c r="L56" s="9"/>
      <c r="S56" s="10">
        <f t="shared" si="3"/>
        <v>0</v>
      </c>
      <c r="T56" s="10">
        <f t="shared" si="4"/>
        <v>0</v>
      </c>
      <c r="U56" s="10">
        <f t="shared" si="5"/>
        <v>0</v>
      </c>
      <c r="V56" s="10">
        <f t="shared" si="6"/>
        <v>0</v>
      </c>
      <c r="W56" s="10">
        <f t="shared" si="7"/>
        <v>0</v>
      </c>
      <c r="X56" s="49">
        <f t="shared" si="8"/>
        <v>0</v>
      </c>
      <c r="Y56" s="49">
        <f t="shared" si="9"/>
        <v>0</v>
      </c>
      <c r="Z56" s="49">
        <f t="shared" si="10"/>
        <v>0</v>
      </c>
      <c r="AA56" s="49">
        <f t="shared" si="11"/>
        <v>0</v>
      </c>
      <c r="AB56" s="49">
        <f t="shared" si="12"/>
        <v>0</v>
      </c>
    </row>
    <row r="57" spans="1:28" s="5" customFormat="1" ht="176.25" customHeight="1">
      <c r="A57" s="59" t="s">
        <v>28</v>
      </c>
      <c r="B57" s="38" t="s">
        <v>135</v>
      </c>
      <c r="C57" s="37" t="s">
        <v>65</v>
      </c>
      <c r="D57" s="24">
        <f>+D58+D59</f>
        <v>28512</v>
      </c>
      <c r="E57" s="24">
        <f>+E58+E59+E60</f>
        <v>379.2</v>
      </c>
      <c r="F57" s="32">
        <f>D57+E57</f>
        <v>28891.200000000001</v>
      </c>
      <c r="G57" s="24">
        <f>+G58+G59</f>
        <v>11349.496999999998</v>
      </c>
      <c r="H57" s="24">
        <f>+H58+H59</f>
        <v>0</v>
      </c>
      <c r="I57" s="32">
        <f t="shared" si="24"/>
        <v>11349.496999999998</v>
      </c>
      <c r="J57" s="32">
        <f t="shared" ref="J57:J64" si="25">I57/F57*100</f>
        <v>39.283577698399505</v>
      </c>
      <c r="S57" s="10">
        <f t="shared" si="3"/>
        <v>0</v>
      </c>
      <c r="T57" s="10">
        <f t="shared" si="4"/>
        <v>0</v>
      </c>
      <c r="U57" s="10">
        <f t="shared" si="5"/>
        <v>1</v>
      </c>
      <c r="V57" s="10">
        <f t="shared" si="6"/>
        <v>0</v>
      </c>
      <c r="W57" s="10">
        <f t="shared" si="7"/>
        <v>0</v>
      </c>
      <c r="X57" s="49">
        <f t="shared" si="8"/>
        <v>0</v>
      </c>
      <c r="Y57" s="49">
        <f t="shared" si="9"/>
        <v>0</v>
      </c>
      <c r="Z57" s="49">
        <f t="shared" si="10"/>
        <v>11349.496999999998</v>
      </c>
      <c r="AA57" s="49">
        <f t="shared" si="11"/>
        <v>0</v>
      </c>
      <c r="AB57" s="49">
        <f t="shared" si="12"/>
        <v>0</v>
      </c>
    </row>
    <row r="58" spans="1:28" s="5" customFormat="1" ht="69" customHeight="1">
      <c r="A58" s="60"/>
      <c r="B58" s="34" t="s">
        <v>93</v>
      </c>
      <c r="C58" s="83" t="s">
        <v>11</v>
      </c>
      <c r="D58" s="25">
        <f>13613+320+1100</f>
        <v>15033</v>
      </c>
      <c r="E58" s="25"/>
      <c r="F58" s="29">
        <f t="shared" si="23"/>
        <v>15033</v>
      </c>
      <c r="G58" s="29">
        <f>680+175+180+65.6+264.6+185+386+333.5+216.5+1166+1003+394.5+334.9+52.9+18+595+190+658.8+333.5+727.3+72.5+400+1301.3+32+63.9+172.9+262</f>
        <v>10264.699999999997</v>
      </c>
      <c r="H58" s="29"/>
      <c r="I58" s="29">
        <f t="shared" si="24"/>
        <v>10264.699999999997</v>
      </c>
      <c r="J58" s="29">
        <f t="shared" si="25"/>
        <v>68.281114880596007</v>
      </c>
      <c r="S58" s="10">
        <f t="shared" si="3"/>
        <v>0</v>
      </c>
      <c r="T58" s="10">
        <f t="shared" si="4"/>
        <v>0</v>
      </c>
      <c r="U58" s="10">
        <f t="shared" si="5"/>
        <v>0</v>
      </c>
      <c r="V58" s="10">
        <f t="shared" si="6"/>
        <v>0</v>
      </c>
      <c r="W58" s="10">
        <f t="shared" si="7"/>
        <v>0</v>
      </c>
      <c r="X58" s="49">
        <f t="shared" si="8"/>
        <v>0</v>
      </c>
      <c r="Y58" s="49">
        <f t="shared" si="9"/>
        <v>0</v>
      </c>
      <c r="Z58" s="49">
        <f t="shared" si="10"/>
        <v>0</v>
      </c>
      <c r="AA58" s="49">
        <f t="shared" si="11"/>
        <v>0</v>
      </c>
      <c r="AB58" s="49">
        <f t="shared" si="12"/>
        <v>0</v>
      </c>
    </row>
    <row r="59" spans="1:28" s="5" customFormat="1" ht="73.8" customHeight="1">
      <c r="A59" s="60"/>
      <c r="B59" s="34" t="s">
        <v>94</v>
      </c>
      <c r="C59" s="83"/>
      <c r="D59" s="25">
        <v>13479</v>
      </c>
      <c r="E59" s="24"/>
      <c r="F59" s="29">
        <f t="shared" si="23"/>
        <v>13479</v>
      </c>
      <c r="G59" s="29">
        <f>20.1+6.9+1.8+29.5+40.1+4.3+0.5+472.3+1.2+2.1+15.3+0.4+239+0.7+88.4+3.3+134.2+0.197+0.2+2.4+6+15.9</f>
        <v>1084.797</v>
      </c>
      <c r="H59" s="32"/>
      <c r="I59" s="29">
        <f t="shared" si="24"/>
        <v>1084.797</v>
      </c>
      <c r="J59" s="29">
        <f t="shared" si="25"/>
        <v>8.0480525261517908</v>
      </c>
      <c r="S59" s="10">
        <f t="shared" si="3"/>
        <v>0</v>
      </c>
      <c r="T59" s="10">
        <f t="shared" si="4"/>
        <v>0</v>
      </c>
      <c r="U59" s="10">
        <f t="shared" si="5"/>
        <v>0</v>
      </c>
      <c r="V59" s="10">
        <f t="shared" si="6"/>
        <v>0</v>
      </c>
      <c r="W59" s="10">
        <f t="shared" si="7"/>
        <v>0</v>
      </c>
      <c r="X59" s="49">
        <f t="shared" si="8"/>
        <v>0</v>
      </c>
      <c r="Y59" s="49">
        <f t="shared" si="9"/>
        <v>0</v>
      </c>
      <c r="Z59" s="49">
        <f t="shared" si="10"/>
        <v>0</v>
      </c>
      <c r="AA59" s="49">
        <f t="shared" si="11"/>
        <v>0</v>
      </c>
      <c r="AB59" s="49">
        <f t="shared" si="12"/>
        <v>0</v>
      </c>
    </row>
    <row r="60" spans="1:28" s="5" customFormat="1" ht="216" customHeight="1">
      <c r="A60" s="61"/>
      <c r="B60" s="34" t="s">
        <v>132</v>
      </c>
      <c r="C60" s="47" t="s">
        <v>133</v>
      </c>
      <c r="D60" s="25"/>
      <c r="E60" s="25">
        <v>379.2</v>
      </c>
      <c r="F60" s="29">
        <f>D60+E60</f>
        <v>379.2</v>
      </c>
      <c r="G60" s="29"/>
      <c r="H60" s="29">
        <v>379.2</v>
      </c>
      <c r="I60" s="29">
        <f t="shared" si="24"/>
        <v>379.2</v>
      </c>
      <c r="J60" s="29">
        <f t="shared" si="25"/>
        <v>100</v>
      </c>
      <c r="S60" s="10">
        <f t="shared" si="3"/>
        <v>0</v>
      </c>
      <c r="T60" s="10">
        <f t="shared" si="4"/>
        <v>0</v>
      </c>
      <c r="U60" s="10">
        <f t="shared" si="5"/>
        <v>0</v>
      </c>
      <c r="V60" s="10">
        <f t="shared" si="6"/>
        <v>0</v>
      </c>
      <c r="W60" s="10">
        <f t="shared" si="7"/>
        <v>0</v>
      </c>
      <c r="X60" s="49">
        <f t="shared" si="8"/>
        <v>0</v>
      </c>
      <c r="Y60" s="49">
        <f t="shared" si="9"/>
        <v>0</v>
      </c>
      <c r="Z60" s="49">
        <f t="shared" si="10"/>
        <v>0</v>
      </c>
      <c r="AA60" s="49">
        <f t="shared" si="11"/>
        <v>0</v>
      </c>
      <c r="AB60" s="49">
        <f t="shared" si="12"/>
        <v>0</v>
      </c>
    </row>
    <row r="61" spans="1:28" s="5" customFormat="1" ht="65.400000000000006" customHeight="1">
      <c r="A61" s="56" t="s">
        <v>33</v>
      </c>
      <c r="B61" s="56"/>
      <c r="C61" s="56"/>
      <c r="D61" s="26">
        <f>+D62</f>
        <v>8340</v>
      </c>
      <c r="E61" s="26">
        <f>+E62+E63</f>
        <v>3308</v>
      </c>
      <c r="F61" s="30">
        <f>E61+D61</f>
        <v>11648</v>
      </c>
      <c r="G61" s="26">
        <f>+G62</f>
        <v>3866.6</v>
      </c>
      <c r="H61" s="26">
        <f>+H62+H64</f>
        <v>2296.6000000000004</v>
      </c>
      <c r="I61" s="30">
        <f>H61+G61</f>
        <v>6163.2000000000007</v>
      </c>
      <c r="J61" s="30">
        <f t="shared" si="25"/>
        <v>52.912087912087912</v>
      </c>
      <c r="S61" s="10">
        <f t="shared" si="3"/>
        <v>0</v>
      </c>
      <c r="T61" s="10">
        <f t="shared" si="4"/>
        <v>0</v>
      </c>
      <c r="U61" s="10">
        <f t="shared" si="5"/>
        <v>0</v>
      </c>
      <c r="V61" s="10">
        <f t="shared" si="6"/>
        <v>0</v>
      </c>
      <c r="W61" s="10">
        <f t="shared" si="7"/>
        <v>0</v>
      </c>
      <c r="X61" s="49">
        <f t="shared" si="8"/>
        <v>0</v>
      </c>
      <c r="Y61" s="49">
        <f t="shared" si="9"/>
        <v>0</v>
      </c>
      <c r="Z61" s="49">
        <f t="shared" si="10"/>
        <v>0</v>
      </c>
      <c r="AA61" s="49">
        <f t="shared" si="11"/>
        <v>0</v>
      </c>
      <c r="AB61" s="49">
        <f t="shared" si="12"/>
        <v>0</v>
      </c>
    </row>
    <row r="62" spans="1:28" s="5" customFormat="1" ht="119.4" customHeight="1">
      <c r="A62" s="39" t="s">
        <v>14</v>
      </c>
      <c r="B62" s="38" t="s">
        <v>96</v>
      </c>
      <c r="C62" s="34" t="s">
        <v>33</v>
      </c>
      <c r="D62" s="25">
        <v>8340</v>
      </c>
      <c r="E62" s="25">
        <v>2910</v>
      </c>
      <c r="F62" s="29">
        <f>E62+D62</f>
        <v>11250</v>
      </c>
      <c r="G62" s="25">
        <f>163.3+78.3+189.7+80.8+197.4+113.6+76+17.8+329.9+168.6+819.5+171.8+74+152.3+695.5+538.1</f>
        <v>3866.6</v>
      </c>
      <c r="H62" s="25">
        <f>67.9+110+38.7+19+341.3+256.2+634.8+144.9+85.5+310+93</f>
        <v>2101.3000000000002</v>
      </c>
      <c r="I62" s="29">
        <f>H62+G62</f>
        <v>5967.9</v>
      </c>
      <c r="J62" s="29">
        <f t="shared" si="25"/>
        <v>53.047999999999995</v>
      </c>
      <c r="S62" s="10">
        <f t="shared" si="3"/>
        <v>0</v>
      </c>
      <c r="T62" s="10">
        <f t="shared" si="4"/>
        <v>0</v>
      </c>
      <c r="U62" s="10">
        <f t="shared" si="5"/>
        <v>1</v>
      </c>
      <c r="V62" s="10">
        <f t="shared" si="6"/>
        <v>0</v>
      </c>
      <c r="W62" s="10">
        <f t="shared" si="7"/>
        <v>0</v>
      </c>
      <c r="X62" s="49">
        <f t="shared" si="8"/>
        <v>0</v>
      </c>
      <c r="Y62" s="49">
        <f t="shared" si="9"/>
        <v>0</v>
      </c>
      <c r="Z62" s="49">
        <f t="shared" si="10"/>
        <v>5967.9</v>
      </c>
      <c r="AA62" s="49">
        <f t="shared" si="11"/>
        <v>0</v>
      </c>
      <c r="AB62" s="49">
        <f t="shared" si="12"/>
        <v>0</v>
      </c>
    </row>
    <row r="63" spans="1:28" s="5" customFormat="1" ht="99.6" customHeight="1">
      <c r="A63" s="59" t="s">
        <v>29</v>
      </c>
      <c r="B63" s="38" t="s">
        <v>69</v>
      </c>
      <c r="C63" s="37" t="s">
        <v>65</v>
      </c>
      <c r="D63" s="25">
        <f>+D64</f>
        <v>0</v>
      </c>
      <c r="E63" s="25">
        <f>+E64</f>
        <v>398</v>
      </c>
      <c r="F63" s="29">
        <f>+D63+E63</f>
        <v>398</v>
      </c>
      <c r="G63" s="25"/>
      <c r="H63" s="25">
        <f>+H64</f>
        <v>195.3</v>
      </c>
      <c r="I63" s="29">
        <f>G63+H63</f>
        <v>195.3</v>
      </c>
      <c r="J63" s="29">
        <f t="shared" si="25"/>
        <v>49.070351758793976</v>
      </c>
      <c r="S63" s="10">
        <f t="shared" si="3"/>
        <v>0</v>
      </c>
      <c r="T63" s="10">
        <f t="shared" si="4"/>
        <v>0</v>
      </c>
      <c r="U63" s="10">
        <f t="shared" si="5"/>
        <v>1</v>
      </c>
      <c r="V63" s="10">
        <f t="shared" si="6"/>
        <v>0</v>
      </c>
      <c r="W63" s="10">
        <f t="shared" si="7"/>
        <v>0</v>
      </c>
      <c r="X63" s="49">
        <f t="shared" si="8"/>
        <v>0</v>
      </c>
      <c r="Y63" s="49">
        <f t="shared" si="9"/>
        <v>0</v>
      </c>
      <c r="Z63" s="49">
        <f t="shared" si="10"/>
        <v>195.3</v>
      </c>
      <c r="AA63" s="49">
        <f t="shared" si="11"/>
        <v>0</v>
      </c>
      <c r="AB63" s="49">
        <f t="shared" si="12"/>
        <v>0</v>
      </c>
    </row>
    <row r="64" spans="1:28" s="5" customFormat="1" ht="83.4" customHeight="1">
      <c r="A64" s="61"/>
      <c r="B64" s="34" t="s">
        <v>106</v>
      </c>
      <c r="C64" s="34" t="s">
        <v>33</v>
      </c>
      <c r="D64" s="25"/>
      <c r="E64" s="25">
        <v>398</v>
      </c>
      <c r="F64" s="29">
        <f>+E64+D64</f>
        <v>398</v>
      </c>
      <c r="G64" s="25"/>
      <c r="H64" s="25">
        <v>195.3</v>
      </c>
      <c r="I64" s="29">
        <f>G64+H64</f>
        <v>195.3</v>
      </c>
      <c r="J64" s="29">
        <f t="shared" si="25"/>
        <v>49.070351758793976</v>
      </c>
      <c r="S64" s="10">
        <f t="shared" si="3"/>
        <v>0</v>
      </c>
      <c r="T64" s="10">
        <f t="shared" si="4"/>
        <v>0</v>
      </c>
      <c r="U64" s="10">
        <f t="shared" si="5"/>
        <v>0</v>
      </c>
      <c r="V64" s="10">
        <f t="shared" si="6"/>
        <v>0</v>
      </c>
      <c r="W64" s="10">
        <f t="shared" si="7"/>
        <v>0</v>
      </c>
      <c r="X64" s="49">
        <f t="shared" si="8"/>
        <v>0</v>
      </c>
      <c r="Y64" s="49">
        <f t="shared" si="9"/>
        <v>0</v>
      </c>
      <c r="Z64" s="49">
        <f t="shared" si="10"/>
        <v>0</v>
      </c>
      <c r="AA64" s="49">
        <f t="shared" si="11"/>
        <v>0</v>
      </c>
      <c r="AB64" s="49">
        <f t="shared" si="12"/>
        <v>0</v>
      </c>
    </row>
    <row r="65" spans="1:29" s="5" customFormat="1" ht="54" customHeight="1">
      <c r="A65" s="66" t="s">
        <v>64</v>
      </c>
      <c r="B65" s="66"/>
      <c r="C65" s="66"/>
      <c r="D65" s="30">
        <f>+D66</f>
        <v>1500</v>
      </c>
      <c r="E65" s="30">
        <f>+E66</f>
        <v>0</v>
      </c>
      <c r="F65" s="30">
        <f>E65+D65</f>
        <v>1500</v>
      </c>
      <c r="G65" s="30">
        <f>+G66</f>
        <v>430.99499999999989</v>
      </c>
      <c r="H65" s="30">
        <f>+H66</f>
        <v>0</v>
      </c>
      <c r="I65" s="30">
        <f>H65+G65</f>
        <v>430.99499999999989</v>
      </c>
      <c r="J65" s="30">
        <f t="shared" si="22"/>
        <v>28.732999999999993</v>
      </c>
      <c r="S65" s="10">
        <f t="shared" si="3"/>
        <v>0</v>
      </c>
      <c r="T65" s="10">
        <f t="shared" si="4"/>
        <v>0</v>
      </c>
      <c r="U65" s="10">
        <f t="shared" si="5"/>
        <v>0</v>
      </c>
      <c r="V65" s="10">
        <f t="shared" si="6"/>
        <v>0</v>
      </c>
      <c r="W65" s="10">
        <f t="shared" si="7"/>
        <v>0</v>
      </c>
      <c r="X65" s="49">
        <f t="shared" si="8"/>
        <v>0</v>
      </c>
      <c r="Y65" s="49">
        <f t="shared" si="9"/>
        <v>0</v>
      </c>
      <c r="Z65" s="49">
        <f t="shared" si="10"/>
        <v>0</v>
      </c>
      <c r="AA65" s="49">
        <f t="shared" si="11"/>
        <v>0</v>
      </c>
      <c r="AB65" s="49">
        <f t="shared" si="12"/>
        <v>0</v>
      </c>
    </row>
    <row r="66" spans="1:29" s="5" customFormat="1" ht="92.25" customHeight="1">
      <c r="A66" s="57" t="s">
        <v>118</v>
      </c>
      <c r="B66" s="36" t="s">
        <v>104</v>
      </c>
      <c r="C66" s="37" t="s">
        <v>65</v>
      </c>
      <c r="D66" s="25">
        <f>+D67</f>
        <v>1500</v>
      </c>
      <c r="E66" s="25">
        <f>+E67</f>
        <v>0</v>
      </c>
      <c r="F66" s="29">
        <f t="shared" ref="F66:F72" si="26">D66+E66</f>
        <v>1500</v>
      </c>
      <c r="G66" s="29">
        <f>+G67</f>
        <v>430.99499999999989</v>
      </c>
      <c r="H66" s="29">
        <f>+H67</f>
        <v>0</v>
      </c>
      <c r="I66" s="29">
        <f>G66+H66</f>
        <v>430.99499999999989</v>
      </c>
      <c r="J66" s="29">
        <f>I66/F66*100</f>
        <v>28.732999999999993</v>
      </c>
      <c r="S66" s="10">
        <f t="shared" si="3"/>
        <v>0</v>
      </c>
      <c r="T66" s="10">
        <f t="shared" si="4"/>
        <v>1</v>
      </c>
      <c r="U66" s="10">
        <f t="shared" si="5"/>
        <v>0</v>
      </c>
      <c r="V66" s="10">
        <f t="shared" si="6"/>
        <v>0</v>
      </c>
      <c r="W66" s="10">
        <f t="shared" si="7"/>
        <v>0</v>
      </c>
      <c r="X66" s="49">
        <f t="shared" si="8"/>
        <v>0</v>
      </c>
      <c r="Y66" s="49">
        <f t="shared" si="9"/>
        <v>430.99499999999989</v>
      </c>
      <c r="Z66" s="49">
        <f t="shared" si="10"/>
        <v>0</v>
      </c>
      <c r="AA66" s="49">
        <f t="shared" si="11"/>
        <v>0</v>
      </c>
      <c r="AB66" s="49">
        <f t="shared" si="12"/>
        <v>0</v>
      </c>
    </row>
    <row r="67" spans="1:29" s="5" customFormat="1" ht="93.6" customHeight="1">
      <c r="A67" s="58"/>
      <c r="B67" s="41" t="s">
        <v>105</v>
      </c>
      <c r="C67" s="43" t="s">
        <v>64</v>
      </c>
      <c r="D67" s="25">
        <f>1000+500</f>
        <v>1500</v>
      </c>
      <c r="E67" s="29"/>
      <c r="F67" s="29">
        <f t="shared" si="26"/>
        <v>1500</v>
      </c>
      <c r="G67" s="29">
        <f>31.3+45.7+7.9+13.31+2.8+36.3+14.345+73.5+51.93+14.02+29.4+7.5+2.27+3.4+73.42+7.5+16.4</f>
        <v>430.99499999999989</v>
      </c>
      <c r="H67" s="25"/>
      <c r="I67" s="29">
        <f t="shared" ref="I67:I72" si="27">G67+H67</f>
        <v>430.99499999999989</v>
      </c>
      <c r="J67" s="29">
        <f t="shared" si="22"/>
        <v>28.732999999999993</v>
      </c>
      <c r="S67" s="10">
        <f t="shared" si="3"/>
        <v>0</v>
      </c>
      <c r="T67" s="10">
        <f t="shared" si="4"/>
        <v>0</v>
      </c>
      <c r="U67" s="10">
        <f t="shared" si="5"/>
        <v>0</v>
      </c>
      <c r="V67" s="10">
        <f t="shared" si="6"/>
        <v>0</v>
      </c>
      <c r="W67" s="10">
        <f t="shared" si="7"/>
        <v>0</v>
      </c>
      <c r="X67" s="49">
        <f t="shared" si="8"/>
        <v>0</v>
      </c>
      <c r="Y67" s="49">
        <f t="shared" si="9"/>
        <v>0</v>
      </c>
      <c r="Z67" s="49">
        <f t="shared" si="10"/>
        <v>0</v>
      </c>
      <c r="AA67" s="49">
        <f t="shared" si="11"/>
        <v>0</v>
      </c>
      <c r="AB67" s="49">
        <f t="shared" si="12"/>
        <v>0</v>
      </c>
    </row>
    <row r="68" spans="1:29" s="5" customFormat="1" ht="70.2" customHeight="1">
      <c r="A68" s="73" t="s">
        <v>63</v>
      </c>
      <c r="B68" s="73"/>
      <c r="C68" s="73"/>
      <c r="D68" s="26">
        <f>+D69+D70+D71+D72</f>
        <v>315030</v>
      </c>
      <c r="E68" s="26">
        <f>+E69+E70+E71+E72</f>
        <v>28433.989000000001</v>
      </c>
      <c r="F68" s="30">
        <f t="shared" si="26"/>
        <v>343463.989</v>
      </c>
      <c r="G68" s="30">
        <f>+G69+G70+G71+G72</f>
        <v>149355.9</v>
      </c>
      <c r="H68" s="30">
        <f>+H69+H70+H71+H72</f>
        <v>12733.600000000002</v>
      </c>
      <c r="I68" s="30">
        <f t="shared" si="27"/>
        <v>162089.5</v>
      </c>
      <c r="J68" s="30">
        <f t="shared" si="22"/>
        <v>47.192574823324492</v>
      </c>
      <c r="S68" s="10">
        <f t="shared" si="3"/>
        <v>0</v>
      </c>
      <c r="T68" s="10">
        <f t="shared" si="4"/>
        <v>0</v>
      </c>
      <c r="U68" s="10">
        <f t="shared" si="5"/>
        <v>0</v>
      </c>
      <c r="V68" s="10">
        <f t="shared" si="6"/>
        <v>0</v>
      </c>
      <c r="W68" s="10">
        <f t="shared" si="7"/>
        <v>0</v>
      </c>
      <c r="X68" s="49">
        <f t="shared" si="8"/>
        <v>0</v>
      </c>
      <c r="Y68" s="49">
        <f t="shared" si="9"/>
        <v>0</v>
      </c>
      <c r="Z68" s="49">
        <f t="shared" si="10"/>
        <v>0</v>
      </c>
      <c r="AA68" s="49">
        <f t="shared" si="11"/>
        <v>0</v>
      </c>
      <c r="AB68" s="49">
        <f t="shared" si="12"/>
        <v>0</v>
      </c>
    </row>
    <row r="69" spans="1:29" s="5" customFormat="1" ht="117" customHeight="1">
      <c r="A69" s="39" t="s">
        <v>119</v>
      </c>
      <c r="B69" s="38" t="s">
        <v>97</v>
      </c>
      <c r="C69" s="34" t="s">
        <v>63</v>
      </c>
      <c r="D69" s="25"/>
      <c r="E69" s="29">
        <f>4000+2260+941.989</f>
        <v>7201.9889999999996</v>
      </c>
      <c r="F69" s="29">
        <f t="shared" si="26"/>
        <v>7201.9889999999996</v>
      </c>
      <c r="G69" s="29"/>
      <c r="H69" s="25">
        <f>1109.6+793.9+1618.1+353.1</f>
        <v>3874.7</v>
      </c>
      <c r="I69" s="29">
        <f t="shared" si="27"/>
        <v>3874.7</v>
      </c>
      <c r="J69" s="29">
        <f>I69/F69*100</f>
        <v>53.800415413019934</v>
      </c>
      <c r="S69" s="10">
        <f t="shared" si="3"/>
        <v>0</v>
      </c>
      <c r="T69" s="10">
        <f t="shared" si="4"/>
        <v>0</v>
      </c>
      <c r="U69" s="10">
        <f t="shared" si="5"/>
        <v>1</v>
      </c>
      <c r="V69" s="10">
        <f t="shared" si="6"/>
        <v>0</v>
      </c>
      <c r="W69" s="10">
        <f t="shared" si="7"/>
        <v>0</v>
      </c>
      <c r="X69" s="49">
        <f t="shared" si="8"/>
        <v>0</v>
      </c>
      <c r="Y69" s="49">
        <f t="shared" si="9"/>
        <v>0</v>
      </c>
      <c r="Z69" s="49">
        <f t="shared" si="10"/>
        <v>3874.7</v>
      </c>
      <c r="AA69" s="49">
        <f t="shared" si="11"/>
        <v>0</v>
      </c>
      <c r="AB69" s="49">
        <f t="shared" si="12"/>
        <v>0</v>
      </c>
    </row>
    <row r="70" spans="1:29" s="5" customFormat="1" ht="153" customHeight="1">
      <c r="A70" s="40" t="s">
        <v>30</v>
      </c>
      <c r="B70" s="38" t="s">
        <v>7</v>
      </c>
      <c r="C70" s="34" t="s">
        <v>63</v>
      </c>
      <c r="D70" s="25"/>
      <c r="E70" s="29">
        <f>12000+2000+6049+533+650</f>
        <v>21232</v>
      </c>
      <c r="F70" s="29">
        <f t="shared" si="26"/>
        <v>21232</v>
      </c>
      <c r="G70" s="29"/>
      <c r="H70" s="25">
        <f>171.3+1755.8+579.5+1049+845.2+1667.4+454.7+497.7+1471.7+116.6+250</f>
        <v>8858.9000000000015</v>
      </c>
      <c r="I70" s="29">
        <f t="shared" si="27"/>
        <v>8858.9000000000015</v>
      </c>
      <c r="J70" s="29">
        <f t="shared" si="22"/>
        <v>41.724284099472506</v>
      </c>
      <c r="S70" s="10">
        <f t="shared" si="3"/>
        <v>0</v>
      </c>
      <c r="T70" s="10">
        <f t="shared" si="4"/>
        <v>0</v>
      </c>
      <c r="U70" s="10">
        <f t="shared" si="5"/>
        <v>1</v>
      </c>
      <c r="V70" s="10">
        <f t="shared" si="6"/>
        <v>0</v>
      </c>
      <c r="W70" s="10">
        <f t="shared" si="7"/>
        <v>0</v>
      </c>
      <c r="X70" s="49">
        <f t="shared" si="8"/>
        <v>0</v>
      </c>
      <c r="Y70" s="49">
        <f t="shared" si="9"/>
        <v>0</v>
      </c>
      <c r="Z70" s="49">
        <f t="shared" si="10"/>
        <v>8858.9000000000015</v>
      </c>
      <c r="AA70" s="49">
        <f t="shared" si="11"/>
        <v>0</v>
      </c>
      <c r="AB70" s="49">
        <f t="shared" si="12"/>
        <v>0</v>
      </c>
    </row>
    <row r="71" spans="1:29" s="13" customFormat="1" ht="99" customHeight="1">
      <c r="A71" s="40" t="s">
        <v>31</v>
      </c>
      <c r="B71" s="38" t="s">
        <v>71</v>
      </c>
      <c r="C71" s="34" t="s">
        <v>63</v>
      </c>
      <c r="D71" s="29">
        <f>11200+3830</f>
        <v>15030</v>
      </c>
      <c r="E71" s="29"/>
      <c r="F71" s="29">
        <f t="shared" si="26"/>
        <v>15030</v>
      </c>
      <c r="G71" s="29">
        <f>1026.8+847.6+520.9+318.7+1459.1+1750.9+107.1+227.9+598.8+789.6</f>
        <v>7647.4000000000005</v>
      </c>
      <c r="H71" s="25"/>
      <c r="I71" s="29">
        <f t="shared" si="27"/>
        <v>7647.4000000000005</v>
      </c>
      <c r="J71" s="29">
        <f t="shared" ref="J71:J84" si="28">I71/F71*100</f>
        <v>50.880904856952768</v>
      </c>
      <c r="S71" s="10">
        <f t="shared" si="3"/>
        <v>0</v>
      </c>
      <c r="T71" s="10">
        <f t="shared" si="4"/>
        <v>0</v>
      </c>
      <c r="U71" s="10">
        <f t="shared" si="5"/>
        <v>1</v>
      </c>
      <c r="V71" s="10">
        <f t="shared" si="6"/>
        <v>0</v>
      </c>
      <c r="W71" s="10">
        <f t="shared" si="7"/>
        <v>0</v>
      </c>
      <c r="X71" s="49">
        <f t="shared" si="8"/>
        <v>0</v>
      </c>
      <c r="Y71" s="49">
        <f t="shared" si="9"/>
        <v>0</v>
      </c>
      <c r="Z71" s="49">
        <f t="shared" si="10"/>
        <v>7647.4000000000005</v>
      </c>
      <c r="AA71" s="49">
        <f t="shared" si="11"/>
        <v>0</v>
      </c>
      <c r="AB71" s="49">
        <f t="shared" si="12"/>
        <v>0</v>
      </c>
    </row>
    <row r="72" spans="1:29" s="8" customFormat="1" ht="113.25" customHeight="1">
      <c r="A72" s="40" t="s">
        <v>120</v>
      </c>
      <c r="B72" s="38" t="s">
        <v>78</v>
      </c>
      <c r="C72" s="34" t="s">
        <v>63</v>
      </c>
      <c r="D72" s="29">
        <v>300000</v>
      </c>
      <c r="E72" s="29"/>
      <c r="F72" s="29">
        <f t="shared" si="26"/>
        <v>300000</v>
      </c>
      <c r="G72" s="29">
        <f>13662.5+2959.6+3166.4+2375.7+3954.2-858.9+4398.1+2256.3+3975.9+1050.8+1382.3+4999.2+501.6+1379+2000.1+16560.5+28080.6+5836.2+649.3+6788.7+742.1+1717.4+6953.9+4411.8+4283.5+8236.2+6228.5+4017</f>
        <v>141708.5</v>
      </c>
      <c r="H72" s="25"/>
      <c r="I72" s="29">
        <f t="shared" si="27"/>
        <v>141708.5</v>
      </c>
      <c r="J72" s="29">
        <f t="shared" si="28"/>
        <v>47.236166666666669</v>
      </c>
      <c r="S72" s="10">
        <f t="shared" si="3"/>
        <v>0</v>
      </c>
      <c r="T72" s="10">
        <f t="shared" si="4"/>
        <v>0</v>
      </c>
      <c r="U72" s="10">
        <f t="shared" si="5"/>
        <v>1</v>
      </c>
      <c r="V72" s="10">
        <f t="shared" si="6"/>
        <v>0</v>
      </c>
      <c r="W72" s="10">
        <f t="shared" si="7"/>
        <v>0</v>
      </c>
      <c r="X72" s="49">
        <f t="shared" si="8"/>
        <v>0</v>
      </c>
      <c r="Y72" s="49">
        <f t="shared" si="9"/>
        <v>0</v>
      </c>
      <c r="Z72" s="49">
        <f t="shared" si="10"/>
        <v>141708.5</v>
      </c>
      <c r="AA72" s="49">
        <f t="shared" si="11"/>
        <v>0</v>
      </c>
      <c r="AB72" s="49">
        <f t="shared" si="12"/>
        <v>0</v>
      </c>
    </row>
    <row r="73" spans="1:29" s="5" customFormat="1" ht="49.8" customHeight="1">
      <c r="A73" s="56" t="s">
        <v>61</v>
      </c>
      <c r="B73" s="56"/>
      <c r="C73" s="56"/>
      <c r="D73" s="30">
        <f>+D74+D75+D79+D17</f>
        <v>6519</v>
      </c>
      <c r="E73" s="30">
        <f>+E74+E75+E79+E17</f>
        <v>16058</v>
      </c>
      <c r="F73" s="30">
        <f>E73+D73</f>
        <v>22577</v>
      </c>
      <c r="G73" s="30">
        <f>+G74+G75+G79+G17</f>
        <v>2724.81</v>
      </c>
      <c r="H73" s="30">
        <f>+H74+H75+H79+H17</f>
        <v>7263.5339999999997</v>
      </c>
      <c r="I73" s="30">
        <f>H73+G73</f>
        <v>9988.3439999999991</v>
      </c>
      <c r="J73" s="30">
        <f t="shared" si="28"/>
        <v>44.241236656774589</v>
      </c>
      <c r="S73" s="10">
        <f t="shared" si="3"/>
        <v>0</v>
      </c>
      <c r="T73" s="10">
        <f t="shared" si="4"/>
        <v>0</v>
      </c>
      <c r="U73" s="10">
        <f t="shared" si="5"/>
        <v>0</v>
      </c>
      <c r="V73" s="10">
        <f t="shared" si="6"/>
        <v>0</v>
      </c>
      <c r="W73" s="10">
        <f t="shared" si="7"/>
        <v>0</v>
      </c>
      <c r="X73" s="49">
        <f t="shared" si="8"/>
        <v>0</v>
      </c>
      <c r="Y73" s="49">
        <f t="shared" si="9"/>
        <v>0</v>
      </c>
      <c r="Z73" s="49">
        <f t="shared" si="10"/>
        <v>0</v>
      </c>
      <c r="AA73" s="49">
        <f t="shared" si="11"/>
        <v>0</v>
      </c>
      <c r="AB73" s="49">
        <f t="shared" si="12"/>
        <v>0</v>
      </c>
    </row>
    <row r="74" spans="1:29" s="5" customFormat="1" ht="161.4" customHeight="1">
      <c r="A74" s="39" t="s">
        <v>36</v>
      </c>
      <c r="B74" s="38" t="s">
        <v>98</v>
      </c>
      <c r="C74" s="34" t="s">
        <v>61</v>
      </c>
      <c r="D74" s="25">
        <f>2940+50-500</f>
        <v>2490</v>
      </c>
      <c r="E74" s="29">
        <f>7760+2065+50+500</f>
        <v>10375</v>
      </c>
      <c r="F74" s="29">
        <f t="shared" ref="F74:F81" si="29">D74+E74</f>
        <v>12865</v>
      </c>
      <c r="G74" s="29">
        <f>173.3+93.5+93.322+75.4+52.1+147.5+63.875+63</f>
        <v>761.99700000000007</v>
      </c>
      <c r="H74" s="25">
        <f>1015.842+502.6+78+371-9.7+1067.1+9.7+527.8+289.1+234.4+268.46</f>
        <v>4354.3019999999997</v>
      </c>
      <c r="I74" s="29">
        <f t="shared" ref="I74:I81" si="30">G74+H74</f>
        <v>5116.299</v>
      </c>
      <c r="J74" s="29">
        <f t="shared" si="28"/>
        <v>39.769133307423246</v>
      </c>
      <c r="S74" s="10">
        <f t="shared" si="3"/>
        <v>0</v>
      </c>
      <c r="T74" s="10">
        <f t="shared" si="4"/>
        <v>0</v>
      </c>
      <c r="U74" s="10">
        <f t="shared" si="5"/>
        <v>1</v>
      </c>
      <c r="V74" s="10">
        <f t="shared" si="6"/>
        <v>0</v>
      </c>
      <c r="W74" s="10">
        <f t="shared" si="7"/>
        <v>0</v>
      </c>
      <c r="X74" s="49">
        <f t="shared" si="8"/>
        <v>0</v>
      </c>
      <c r="Y74" s="49">
        <f t="shared" si="9"/>
        <v>0</v>
      </c>
      <c r="Z74" s="49">
        <f t="shared" si="10"/>
        <v>5116.299</v>
      </c>
      <c r="AA74" s="49">
        <f t="shared" si="11"/>
        <v>0</v>
      </c>
      <c r="AB74" s="49">
        <f t="shared" si="12"/>
        <v>0</v>
      </c>
    </row>
    <row r="75" spans="1:29" s="5" customFormat="1" ht="87" customHeight="1">
      <c r="A75" s="58" t="s">
        <v>6</v>
      </c>
      <c r="B75" s="38" t="s">
        <v>68</v>
      </c>
      <c r="C75" s="37" t="s">
        <v>65</v>
      </c>
      <c r="D75" s="24">
        <f>+D76+D77+D78</f>
        <v>4000</v>
      </c>
      <c r="E75" s="24">
        <f>+E76+E77+E78</f>
        <v>3362</v>
      </c>
      <c r="F75" s="32">
        <f t="shared" si="29"/>
        <v>7362</v>
      </c>
      <c r="G75" s="32">
        <f>+G76+G77+G78</f>
        <v>1942.963</v>
      </c>
      <c r="H75" s="32">
        <f>+H76+H77+H78</f>
        <v>2216.3319999999999</v>
      </c>
      <c r="I75" s="32">
        <f t="shared" si="30"/>
        <v>4159.2950000000001</v>
      </c>
      <c r="J75" s="32">
        <f t="shared" si="28"/>
        <v>56.496807932627</v>
      </c>
      <c r="S75" s="10">
        <f t="shared" si="3"/>
        <v>0</v>
      </c>
      <c r="T75" s="10">
        <f t="shared" si="4"/>
        <v>0</v>
      </c>
      <c r="U75" s="10">
        <f t="shared" si="5"/>
        <v>1</v>
      </c>
      <c r="V75" s="10">
        <f t="shared" si="6"/>
        <v>0</v>
      </c>
      <c r="W75" s="10">
        <f t="shared" si="7"/>
        <v>0</v>
      </c>
      <c r="X75" s="49">
        <f t="shared" si="8"/>
        <v>0</v>
      </c>
      <c r="Y75" s="49">
        <f t="shared" si="9"/>
        <v>0</v>
      </c>
      <c r="Z75" s="49">
        <f t="shared" si="10"/>
        <v>4159.2950000000001</v>
      </c>
      <c r="AA75" s="49">
        <f t="shared" si="11"/>
        <v>0</v>
      </c>
      <c r="AB75" s="49">
        <f t="shared" si="12"/>
        <v>0</v>
      </c>
    </row>
    <row r="76" spans="1:29" s="5" customFormat="1" ht="99" customHeight="1">
      <c r="A76" s="58"/>
      <c r="B76" s="34" t="s">
        <v>0</v>
      </c>
      <c r="C76" s="74" t="s">
        <v>61</v>
      </c>
      <c r="D76" s="25">
        <f>3700-3154</f>
        <v>546</v>
      </c>
      <c r="E76" s="29"/>
      <c r="F76" s="29">
        <f t="shared" si="29"/>
        <v>546</v>
      </c>
      <c r="G76" s="29"/>
      <c r="H76" s="25"/>
      <c r="I76" s="29">
        <f t="shared" si="30"/>
        <v>0</v>
      </c>
      <c r="J76" s="29">
        <f t="shared" si="28"/>
        <v>0</v>
      </c>
      <c r="S76" s="10">
        <f t="shared" si="3"/>
        <v>0</v>
      </c>
      <c r="T76" s="10">
        <f t="shared" si="4"/>
        <v>0</v>
      </c>
      <c r="U76" s="10">
        <f t="shared" si="5"/>
        <v>0</v>
      </c>
      <c r="V76" s="10">
        <f t="shared" si="6"/>
        <v>0</v>
      </c>
      <c r="W76" s="10">
        <f t="shared" si="7"/>
        <v>0</v>
      </c>
      <c r="X76" s="49">
        <f t="shared" si="8"/>
        <v>0</v>
      </c>
      <c r="Y76" s="49">
        <f t="shared" si="9"/>
        <v>0</v>
      </c>
      <c r="Z76" s="49">
        <f t="shared" si="10"/>
        <v>0</v>
      </c>
      <c r="AA76" s="49">
        <f t="shared" si="11"/>
        <v>0</v>
      </c>
      <c r="AB76" s="49">
        <f t="shared" si="12"/>
        <v>0</v>
      </c>
    </row>
    <row r="77" spans="1:29" s="5" customFormat="1" ht="63" customHeight="1">
      <c r="A77" s="58"/>
      <c r="B77" s="34" t="s">
        <v>27</v>
      </c>
      <c r="C77" s="74"/>
      <c r="D77" s="25">
        <v>300</v>
      </c>
      <c r="E77" s="29"/>
      <c r="F77" s="29">
        <f t="shared" si="29"/>
        <v>300</v>
      </c>
      <c r="G77" s="29">
        <v>275</v>
      </c>
      <c r="H77" s="25"/>
      <c r="I77" s="29">
        <f t="shared" si="30"/>
        <v>275</v>
      </c>
      <c r="J77" s="29">
        <f t="shared" si="28"/>
        <v>91.666666666666657</v>
      </c>
      <c r="S77" s="10">
        <f t="shared" si="3"/>
        <v>0</v>
      </c>
      <c r="T77" s="10">
        <f t="shared" si="4"/>
        <v>0</v>
      </c>
      <c r="U77" s="10">
        <f t="shared" si="5"/>
        <v>0</v>
      </c>
      <c r="V77" s="10">
        <f t="shared" si="6"/>
        <v>0</v>
      </c>
      <c r="W77" s="10">
        <f t="shared" si="7"/>
        <v>0</v>
      </c>
      <c r="X77" s="49">
        <f t="shared" si="8"/>
        <v>0</v>
      </c>
      <c r="Y77" s="49">
        <f t="shared" si="9"/>
        <v>0</v>
      </c>
      <c r="Z77" s="49">
        <f t="shared" si="10"/>
        <v>0</v>
      </c>
      <c r="AA77" s="49">
        <f t="shared" si="11"/>
        <v>0</v>
      </c>
      <c r="AB77" s="49">
        <f t="shared" si="12"/>
        <v>0</v>
      </c>
    </row>
    <row r="78" spans="1:29" s="5" customFormat="1" ht="49.2" customHeight="1">
      <c r="A78" s="58"/>
      <c r="B78" s="34" t="s">
        <v>76</v>
      </c>
      <c r="C78" s="74"/>
      <c r="D78" s="25">
        <v>3154</v>
      </c>
      <c r="E78" s="29">
        <f>2000+1362</f>
        <v>3362</v>
      </c>
      <c r="F78" s="29">
        <f t="shared" si="29"/>
        <v>6516</v>
      </c>
      <c r="G78" s="29">
        <f>81+406+275+308+40.663+140.3+296+121</f>
        <v>1667.963</v>
      </c>
      <c r="H78" s="25">
        <f>207.032+923.8+40.7+679.7+365.1</f>
        <v>2216.3319999999999</v>
      </c>
      <c r="I78" s="29">
        <f t="shared" si="30"/>
        <v>3884.2950000000001</v>
      </c>
      <c r="J78" s="29">
        <f t="shared" si="28"/>
        <v>59.611648250460405</v>
      </c>
      <c r="S78" s="10">
        <f t="shared" si="3"/>
        <v>0</v>
      </c>
      <c r="T78" s="10">
        <f t="shared" si="4"/>
        <v>0</v>
      </c>
      <c r="U78" s="10">
        <f t="shared" si="5"/>
        <v>0</v>
      </c>
      <c r="V78" s="10">
        <f t="shared" si="6"/>
        <v>0</v>
      </c>
      <c r="W78" s="10">
        <f t="shared" si="7"/>
        <v>0</v>
      </c>
      <c r="X78" s="49">
        <f t="shared" si="8"/>
        <v>0</v>
      </c>
      <c r="Y78" s="49">
        <f t="shared" si="9"/>
        <v>0</v>
      </c>
      <c r="Z78" s="49">
        <f t="shared" si="10"/>
        <v>0</v>
      </c>
      <c r="AA78" s="49">
        <f t="shared" si="11"/>
        <v>0</v>
      </c>
      <c r="AB78" s="49">
        <f t="shared" si="12"/>
        <v>0</v>
      </c>
    </row>
    <row r="79" spans="1:29" s="14" customFormat="1" ht="123" customHeight="1">
      <c r="A79" s="58" t="s">
        <v>66</v>
      </c>
      <c r="B79" s="38" t="s">
        <v>1</v>
      </c>
      <c r="C79" s="37" t="s">
        <v>65</v>
      </c>
      <c r="D79" s="25">
        <f>+D80+D81</f>
        <v>0</v>
      </c>
      <c r="E79" s="23">
        <f>+E80+E81</f>
        <v>2000</v>
      </c>
      <c r="F79" s="29">
        <f t="shared" si="29"/>
        <v>2000</v>
      </c>
      <c r="G79" s="29">
        <f>+G80+G81</f>
        <v>0</v>
      </c>
      <c r="H79" s="29">
        <f>+H80+H81</f>
        <v>634</v>
      </c>
      <c r="I79" s="29">
        <f t="shared" si="30"/>
        <v>634</v>
      </c>
      <c r="J79" s="29">
        <f t="shared" si="28"/>
        <v>31.7</v>
      </c>
      <c r="R79" s="5"/>
      <c r="S79" s="10">
        <f t="shared" si="3"/>
        <v>0</v>
      </c>
      <c r="T79" s="10">
        <f t="shared" si="4"/>
        <v>0</v>
      </c>
      <c r="U79" s="10">
        <f t="shared" si="5"/>
        <v>1</v>
      </c>
      <c r="V79" s="10">
        <f t="shared" si="6"/>
        <v>0</v>
      </c>
      <c r="W79" s="10">
        <f t="shared" si="7"/>
        <v>0</v>
      </c>
      <c r="X79" s="49">
        <f t="shared" si="8"/>
        <v>0</v>
      </c>
      <c r="Y79" s="49">
        <f t="shared" si="9"/>
        <v>0</v>
      </c>
      <c r="Z79" s="49">
        <f t="shared" si="10"/>
        <v>634</v>
      </c>
      <c r="AA79" s="49">
        <f t="shared" si="11"/>
        <v>0</v>
      </c>
      <c r="AB79" s="49">
        <f t="shared" si="12"/>
        <v>0</v>
      </c>
      <c r="AC79" s="5"/>
    </row>
    <row r="80" spans="1:29" s="15" customFormat="1" ht="151.5" customHeight="1">
      <c r="A80" s="58"/>
      <c r="B80" s="34" t="s">
        <v>2</v>
      </c>
      <c r="C80" s="74" t="s">
        <v>61</v>
      </c>
      <c r="D80" s="25"/>
      <c r="E80" s="29">
        <v>1000</v>
      </c>
      <c r="F80" s="29">
        <f t="shared" si="29"/>
        <v>1000</v>
      </c>
      <c r="G80" s="29"/>
      <c r="H80" s="25"/>
      <c r="I80" s="29">
        <f t="shared" si="30"/>
        <v>0</v>
      </c>
      <c r="J80" s="29">
        <f t="shared" si="28"/>
        <v>0</v>
      </c>
      <c r="R80" s="5"/>
      <c r="S80" s="10">
        <f t="shared" ref="S80:S110" si="31">IF(LEN($A80)=0,0,(IF(LEN($A80)&lt;=2,(IF($J80&gt;0,(IF(($I80/$F80)*100=0,1,0)),1)),0)))</f>
        <v>0</v>
      </c>
      <c r="T80" s="10">
        <f t="shared" ref="T80:T110" si="32">IF(LEN($A80)=0,0,(IF(LEN($A80)&lt;=2,(IF($J80&gt;0,(IF(AND(($I80)/($F80)*100&gt;=0,($I80)/($F80)*100&lt;30),1,0)),0)),0)))</f>
        <v>0</v>
      </c>
      <c r="U80" s="10">
        <f t="shared" ref="U80:U110" si="33">IF(LEN($A80)=0,0,(IF(LEN($A80)&lt;=2,(IF($J80&gt;0,(IF(AND(($I80)/($F80)*100&gt;=30,($I80)/($F80)*100&lt;70),1,0)),0)),0)))</f>
        <v>0</v>
      </c>
      <c r="V80" s="10">
        <f t="shared" ref="V80:V110" si="34">IF(LEN($A80)=0,0,(IF(LEN($A80)&lt;=2,(IF($J80&gt;0,(IF(AND(($I80)/($F80)*100&gt;=70,($I80)/($F80)*100&lt;100),1,0)),0)),0)))</f>
        <v>0</v>
      </c>
      <c r="W80" s="10">
        <f t="shared" ref="W80:W110" si="35">IF(LEN($A80)=0,0,(IF(LEN($A80)&lt;=2,(IF($J80&gt;0,(IF(($I80/$F80)*100&gt;=100,1,0)),0)),0)))</f>
        <v>0</v>
      </c>
      <c r="X80" s="49">
        <f t="shared" ref="X80:X110" si="36">IF(LEN($A80)&gt;2,0,(IF(LEN($A80)&lt;=2,(IF($J80&gt;0,(IF(($I80)/($F80)*100=0,$I80,0)),0)),0)))</f>
        <v>0</v>
      </c>
      <c r="Y80" s="49">
        <f t="shared" ref="Y80:Y110" si="37">IF(LEN($A80)=0,0,(IF(LEN($A80)&lt;=2,(IF($J80&gt;0,(IF(AND(($I80)/($F80)*100&gt;0,($I80)/($F80)*100&lt;30),$I80,0)),0)),0)))</f>
        <v>0</v>
      </c>
      <c r="Z80" s="49">
        <f t="shared" ref="Z80:Z110" si="38">IF(LEN($A80)=0,0,(IF(LEN($A80)&lt;=2,(IF($J80&gt;0,(IF(AND(($I80)/($F80)*100&gt;=30,($I80)/($F80)*100&lt;70),$I80,0)),0)),0)))</f>
        <v>0</v>
      </c>
      <c r="AA80" s="49">
        <f t="shared" ref="AA80:AA110" si="39">IF(LEN($A80)=0,0,(IF(LEN($A80)&lt;=2,(IF($J80&gt;0,(IF(AND(($I80)/($F80)*100&gt;=70,($I80)/($F80)*100&lt;100),$I80,0)),0)),0)))</f>
        <v>0</v>
      </c>
      <c r="AB80" s="49">
        <f t="shared" ref="AB80:AB110" si="40">IF(LEN($A80)=0,0,(IF(LEN($A80)&lt;=2,(IF($J80&gt;0,(IF(($I80)/($F80)*100&gt;=100,$I80,0)),0)),0)))</f>
        <v>0</v>
      </c>
      <c r="AC80" s="5"/>
    </row>
    <row r="81" spans="1:29" s="15" customFormat="1" ht="98.25" customHeight="1">
      <c r="A81" s="58"/>
      <c r="B81" s="34" t="s">
        <v>3</v>
      </c>
      <c r="C81" s="74"/>
      <c r="D81" s="25"/>
      <c r="E81" s="29">
        <v>1000</v>
      </c>
      <c r="F81" s="29">
        <f t="shared" si="29"/>
        <v>1000</v>
      </c>
      <c r="G81" s="29"/>
      <c r="H81" s="25">
        <f>95+70+50+200+90+100+29</f>
        <v>634</v>
      </c>
      <c r="I81" s="29">
        <f t="shared" si="30"/>
        <v>634</v>
      </c>
      <c r="J81" s="29">
        <f t="shared" si="28"/>
        <v>63.4</v>
      </c>
      <c r="R81" s="5"/>
      <c r="S81" s="10">
        <f t="shared" si="31"/>
        <v>0</v>
      </c>
      <c r="T81" s="10">
        <f t="shared" si="32"/>
        <v>0</v>
      </c>
      <c r="U81" s="10">
        <f t="shared" si="33"/>
        <v>0</v>
      </c>
      <c r="V81" s="10">
        <f t="shared" si="34"/>
        <v>0</v>
      </c>
      <c r="W81" s="10">
        <f t="shared" si="35"/>
        <v>0</v>
      </c>
      <c r="X81" s="49">
        <f t="shared" si="36"/>
        <v>0</v>
      </c>
      <c r="Y81" s="49">
        <f t="shared" si="37"/>
        <v>0</v>
      </c>
      <c r="Z81" s="49">
        <f t="shared" si="38"/>
        <v>0</v>
      </c>
      <c r="AA81" s="49">
        <f t="shared" si="39"/>
        <v>0</v>
      </c>
      <c r="AB81" s="49">
        <f t="shared" si="40"/>
        <v>0</v>
      </c>
      <c r="AC81" s="5"/>
    </row>
    <row r="82" spans="1:29" s="5" customFormat="1" ht="40.799999999999997" customHeight="1">
      <c r="A82" s="66" t="s">
        <v>35</v>
      </c>
      <c r="B82" s="66"/>
      <c r="C82" s="66"/>
      <c r="D82" s="30">
        <f>+D83</f>
        <v>18400</v>
      </c>
      <c r="E82" s="30">
        <f>+E83</f>
        <v>1200</v>
      </c>
      <c r="F82" s="30">
        <f>E82+D82</f>
        <v>19600</v>
      </c>
      <c r="G82" s="30">
        <f>+G83</f>
        <v>8675.4860000000008</v>
      </c>
      <c r="H82" s="30">
        <f>+H83</f>
        <v>347.5</v>
      </c>
      <c r="I82" s="30">
        <f>H82+G82</f>
        <v>9022.9860000000008</v>
      </c>
      <c r="J82" s="30">
        <f t="shared" si="28"/>
        <v>46.035642857142861</v>
      </c>
      <c r="S82" s="10">
        <f t="shared" si="31"/>
        <v>0</v>
      </c>
      <c r="T82" s="10">
        <f t="shared" si="32"/>
        <v>0</v>
      </c>
      <c r="U82" s="10">
        <f t="shared" si="33"/>
        <v>0</v>
      </c>
      <c r="V82" s="10">
        <f t="shared" si="34"/>
        <v>0</v>
      </c>
      <c r="W82" s="10">
        <f t="shared" si="35"/>
        <v>0</v>
      </c>
      <c r="X82" s="49">
        <f t="shared" si="36"/>
        <v>0</v>
      </c>
      <c r="Y82" s="49">
        <f t="shared" si="37"/>
        <v>0</v>
      </c>
      <c r="Z82" s="49">
        <f t="shared" si="38"/>
        <v>0</v>
      </c>
      <c r="AA82" s="49">
        <f t="shared" si="39"/>
        <v>0</v>
      </c>
      <c r="AB82" s="49">
        <f t="shared" si="40"/>
        <v>0</v>
      </c>
    </row>
    <row r="83" spans="1:29" s="5" customFormat="1" ht="124.5" customHeight="1">
      <c r="A83" s="39" t="s">
        <v>37</v>
      </c>
      <c r="B83" s="36" t="s">
        <v>8</v>
      </c>
      <c r="C83" s="34" t="s">
        <v>35</v>
      </c>
      <c r="D83" s="25">
        <v>18400</v>
      </c>
      <c r="E83" s="29">
        <v>1200</v>
      </c>
      <c r="F83" s="29">
        <f>D83+E83</f>
        <v>19600</v>
      </c>
      <c r="G83" s="29">
        <f>26.4+2775.3+526.1+1600+0.121+1579.5+200+500+532.5+200+183.6+551.965</f>
        <v>8675.4860000000008</v>
      </c>
      <c r="H83" s="25">
        <v>347.5</v>
      </c>
      <c r="I83" s="29">
        <f>G83+H83</f>
        <v>9022.9860000000008</v>
      </c>
      <c r="J83" s="29">
        <f t="shared" si="28"/>
        <v>46.035642857142861</v>
      </c>
      <c r="S83" s="10">
        <f t="shared" si="31"/>
        <v>0</v>
      </c>
      <c r="T83" s="10">
        <f t="shared" si="32"/>
        <v>0</v>
      </c>
      <c r="U83" s="10">
        <f t="shared" si="33"/>
        <v>1</v>
      </c>
      <c r="V83" s="10">
        <f t="shared" si="34"/>
        <v>0</v>
      </c>
      <c r="W83" s="10">
        <f t="shared" si="35"/>
        <v>0</v>
      </c>
      <c r="X83" s="49">
        <f t="shared" si="36"/>
        <v>0</v>
      </c>
      <c r="Y83" s="49">
        <f t="shared" si="37"/>
        <v>0</v>
      </c>
      <c r="Z83" s="49">
        <f t="shared" si="38"/>
        <v>9022.9860000000008</v>
      </c>
      <c r="AA83" s="49">
        <f t="shared" si="39"/>
        <v>0</v>
      </c>
      <c r="AB83" s="49">
        <f t="shared" si="40"/>
        <v>0</v>
      </c>
    </row>
    <row r="84" spans="1:29" s="5" customFormat="1" ht="54.6" customHeight="1">
      <c r="A84" s="66" t="s">
        <v>17</v>
      </c>
      <c r="B84" s="66"/>
      <c r="C84" s="66"/>
      <c r="D84" s="30">
        <f>+D85</f>
        <v>2337.4</v>
      </c>
      <c r="E84" s="30">
        <f>+E85</f>
        <v>65712</v>
      </c>
      <c r="F84" s="30">
        <f>E84+D84</f>
        <v>68049.399999999994</v>
      </c>
      <c r="G84" s="30">
        <f>+G85</f>
        <v>663.83800000000008</v>
      </c>
      <c r="H84" s="30">
        <f>+H85</f>
        <v>27923.5</v>
      </c>
      <c r="I84" s="30">
        <f>H84+G84</f>
        <v>28587.338</v>
      </c>
      <c r="J84" s="30">
        <f t="shared" si="28"/>
        <v>42.009684141226813</v>
      </c>
      <c r="S84" s="10">
        <f t="shared" si="31"/>
        <v>0</v>
      </c>
      <c r="T84" s="10">
        <f t="shared" si="32"/>
        <v>0</v>
      </c>
      <c r="U84" s="10">
        <f t="shared" si="33"/>
        <v>0</v>
      </c>
      <c r="V84" s="10">
        <f t="shared" si="34"/>
        <v>0</v>
      </c>
      <c r="W84" s="10">
        <f t="shared" si="35"/>
        <v>0</v>
      </c>
      <c r="X84" s="49">
        <f t="shared" si="36"/>
        <v>0</v>
      </c>
      <c r="Y84" s="49">
        <f t="shared" si="37"/>
        <v>0</v>
      </c>
      <c r="Z84" s="49">
        <f t="shared" si="38"/>
        <v>0</v>
      </c>
      <c r="AA84" s="49">
        <f t="shared" si="39"/>
        <v>0</v>
      </c>
      <c r="AB84" s="49">
        <f t="shared" si="40"/>
        <v>0</v>
      </c>
    </row>
    <row r="85" spans="1:29" s="5" customFormat="1" ht="77.25" customHeight="1">
      <c r="A85" s="57" t="s">
        <v>38</v>
      </c>
      <c r="B85" s="38" t="s">
        <v>69</v>
      </c>
      <c r="C85" s="37" t="s">
        <v>65</v>
      </c>
      <c r="D85" s="25">
        <f>+D86+D87+D88</f>
        <v>2337.4</v>
      </c>
      <c r="E85" s="25">
        <f>+E86+E87+E88</f>
        <v>65712</v>
      </c>
      <c r="F85" s="29">
        <f>D85+E85</f>
        <v>68049.399999999994</v>
      </c>
      <c r="G85" s="29">
        <f>+G86+G87+G88</f>
        <v>663.83800000000008</v>
      </c>
      <c r="H85" s="29">
        <f>+H86+H87+H88</f>
        <v>27923.5</v>
      </c>
      <c r="I85" s="29">
        <f>G85+H85</f>
        <v>28587.338</v>
      </c>
      <c r="J85" s="29">
        <f t="shared" ref="J85:J94" si="41">I85/F85*100</f>
        <v>42.009684141226813</v>
      </c>
      <c r="S85" s="10">
        <f t="shared" si="31"/>
        <v>0</v>
      </c>
      <c r="T85" s="10">
        <f t="shared" si="32"/>
        <v>0</v>
      </c>
      <c r="U85" s="10">
        <f t="shared" si="33"/>
        <v>1</v>
      </c>
      <c r="V85" s="10">
        <f t="shared" si="34"/>
        <v>0</v>
      </c>
      <c r="W85" s="10">
        <f t="shared" si="35"/>
        <v>0</v>
      </c>
      <c r="X85" s="49">
        <f t="shared" si="36"/>
        <v>0</v>
      </c>
      <c r="Y85" s="49">
        <f t="shared" si="37"/>
        <v>0</v>
      </c>
      <c r="Z85" s="49">
        <f t="shared" si="38"/>
        <v>28587.338</v>
      </c>
      <c r="AA85" s="49">
        <f t="shared" si="39"/>
        <v>0</v>
      </c>
      <c r="AB85" s="49">
        <f t="shared" si="40"/>
        <v>0</v>
      </c>
    </row>
    <row r="86" spans="1:29" s="5" customFormat="1" ht="69.75" customHeight="1">
      <c r="A86" s="58"/>
      <c r="B86" s="34" t="s">
        <v>108</v>
      </c>
      <c r="C86" s="74" t="s">
        <v>17</v>
      </c>
      <c r="D86" s="25">
        <v>1037.4000000000001</v>
      </c>
      <c r="E86" s="29">
        <v>110</v>
      </c>
      <c r="F86" s="29">
        <f>D86+E86</f>
        <v>1147.4000000000001</v>
      </c>
      <c r="G86" s="29">
        <f>102.6+40.3+29+45.7+27.1+53.8+28.5+28.1+22.1+33.6+66.7+50-0.5+42.7+33.538+60.6</f>
        <v>663.83800000000008</v>
      </c>
      <c r="H86" s="25"/>
      <c r="I86" s="29">
        <f>G86+H86</f>
        <v>663.83800000000008</v>
      </c>
      <c r="J86" s="29">
        <f t="shared" si="41"/>
        <v>57.855848004183372</v>
      </c>
      <c r="S86" s="10">
        <f t="shared" si="31"/>
        <v>0</v>
      </c>
      <c r="T86" s="10">
        <f t="shared" si="32"/>
        <v>0</v>
      </c>
      <c r="U86" s="10">
        <f t="shared" si="33"/>
        <v>0</v>
      </c>
      <c r="V86" s="10">
        <f t="shared" si="34"/>
        <v>0</v>
      </c>
      <c r="W86" s="10">
        <f t="shared" si="35"/>
        <v>0</v>
      </c>
      <c r="X86" s="49">
        <f t="shared" si="36"/>
        <v>0</v>
      </c>
      <c r="Y86" s="49">
        <f t="shared" si="37"/>
        <v>0</v>
      </c>
      <c r="Z86" s="49">
        <f t="shared" si="38"/>
        <v>0</v>
      </c>
      <c r="AA86" s="49">
        <f t="shared" si="39"/>
        <v>0</v>
      </c>
      <c r="AB86" s="49">
        <f t="shared" si="40"/>
        <v>0</v>
      </c>
    </row>
    <row r="87" spans="1:29" s="5" customFormat="1" ht="91.8" customHeight="1">
      <c r="A87" s="58"/>
      <c r="B87" s="34" t="s">
        <v>131</v>
      </c>
      <c r="C87" s="74"/>
      <c r="D87" s="25">
        <f>1800-500</f>
        <v>1300</v>
      </c>
      <c r="E87" s="29"/>
      <c r="F87" s="29">
        <f>D87+E87</f>
        <v>1300</v>
      </c>
      <c r="G87" s="29"/>
      <c r="H87" s="25"/>
      <c r="I87" s="29">
        <f>G87+H87</f>
        <v>0</v>
      </c>
      <c r="J87" s="29">
        <f t="shared" si="41"/>
        <v>0</v>
      </c>
      <c r="S87" s="10">
        <f t="shared" si="31"/>
        <v>0</v>
      </c>
      <c r="T87" s="10">
        <f t="shared" si="32"/>
        <v>0</v>
      </c>
      <c r="U87" s="10">
        <f t="shared" si="33"/>
        <v>0</v>
      </c>
      <c r="V87" s="10">
        <f t="shared" si="34"/>
        <v>0</v>
      </c>
      <c r="W87" s="10">
        <f t="shared" si="35"/>
        <v>0</v>
      </c>
      <c r="X87" s="49">
        <f t="shared" si="36"/>
        <v>0</v>
      </c>
      <c r="Y87" s="49">
        <f t="shared" si="37"/>
        <v>0</v>
      </c>
      <c r="Z87" s="49">
        <f t="shared" si="38"/>
        <v>0</v>
      </c>
      <c r="AA87" s="49">
        <f t="shared" si="39"/>
        <v>0</v>
      </c>
      <c r="AB87" s="49">
        <f t="shared" si="40"/>
        <v>0</v>
      </c>
    </row>
    <row r="88" spans="1:29" s="5" customFormat="1" ht="75.599999999999994" customHeight="1">
      <c r="A88" s="58"/>
      <c r="B88" s="34" t="s">
        <v>106</v>
      </c>
      <c r="C88" s="74"/>
      <c r="D88" s="25"/>
      <c r="E88" s="29">
        <f>56500+500+9000-398</f>
        <v>65602</v>
      </c>
      <c r="F88" s="29">
        <f>D88+E88</f>
        <v>65602</v>
      </c>
      <c r="G88" s="29"/>
      <c r="H88" s="25">
        <f>3615+360+664+3350+483+900+800+510+584+980+900+103+3226.9+435+2195.3+1146+1000+3136.3+3535</f>
        <v>27923.5</v>
      </c>
      <c r="I88" s="29">
        <f>G88+H88</f>
        <v>27923.5</v>
      </c>
      <c r="J88" s="29">
        <f t="shared" si="41"/>
        <v>42.565013261790803</v>
      </c>
      <c r="S88" s="10">
        <f t="shared" si="31"/>
        <v>0</v>
      </c>
      <c r="T88" s="10">
        <f t="shared" si="32"/>
        <v>0</v>
      </c>
      <c r="U88" s="10">
        <f t="shared" si="33"/>
        <v>0</v>
      </c>
      <c r="V88" s="10">
        <f t="shared" si="34"/>
        <v>0</v>
      </c>
      <c r="W88" s="10">
        <f t="shared" si="35"/>
        <v>0</v>
      </c>
      <c r="X88" s="49">
        <f t="shared" si="36"/>
        <v>0</v>
      </c>
      <c r="Y88" s="49">
        <f t="shared" si="37"/>
        <v>0</v>
      </c>
      <c r="Z88" s="49">
        <f t="shared" si="38"/>
        <v>0</v>
      </c>
      <c r="AA88" s="49">
        <f t="shared" si="39"/>
        <v>0</v>
      </c>
      <c r="AB88" s="49">
        <f t="shared" si="40"/>
        <v>0</v>
      </c>
    </row>
    <row r="89" spans="1:29" s="5" customFormat="1" ht="53.4" customHeight="1">
      <c r="A89" s="56" t="s">
        <v>15</v>
      </c>
      <c r="B89" s="56"/>
      <c r="C89" s="56"/>
      <c r="D89" s="30">
        <f>+D90+D93</f>
        <v>141000</v>
      </c>
      <c r="E89" s="30">
        <f>+E91+E93</f>
        <v>0</v>
      </c>
      <c r="F89" s="30">
        <f>E89+D89</f>
        <v>141000</v>
      </c>
      <c r="G89" s="30">
        <f>G91+G93+G16</f>
        <v>52846.400000000001</v>
      </c>
      <c r="H89" s="30">
        <f>H91+H93+H16</f>
        <v>183</v>
      </c>
      <c r="I89" s="30">
        <f>H89+G89</f>
        <v>53029.4</v>
      </c>
      <c r="J89" s="30">
        <f t="shared" si="41"/>
        <v>37.60950354609929</v>
      </c>
      <c r="S89" s="10">
        <f t="shared" si="31"/>
        <v>0</v>
      </c>
      <c r="T89" s="10">
        <f t="shared" si="32"/>
        <v>0</v>
      </c>
      <c r="U89" s="10">
        <f t="shared" si="33"/>
        <v>0</v>
      </c>
      <c r="V89" s="10">
        <f t="shared" si="34"/>
        <v>0</v>
      </c>
      <c r="W89" s="10">
        <f t="shared" si="35"/>
        <v>0</v>
      </c>
      <c r="X89" s="49">
        <f t="shared" si="36"/>
        <v>0</v>
      </c>
      <c r="Y89" s="49">
        <f t="shared" si="37"/>
        <v>0</v>
      </c>
      <c r="Z89" s="49">
        <f t="shared" si="38"/>
        <v>0</v>
      </c>
      <c r="AA89" s="49">
        <f t="shared" si="39"/>
        <v>0</v>
      </c>
      <c r="AB89" s="49">
        <f t="shared" si="40"/>
        <v>0</v>
      </c>
    </row>
    <row r="90" spans="1:29" s="5" customFormat="1" ht="52.8" customHeight="1">
      <c r="A90" s="82" t="s">
        <v>39</v>
      </c>
      <c r="B90" s="1" t="s">
        <v>113</v>
      </c>
      <c r="C90" s="37" t="s">
        <v>65</v>
      </c>
      <c r="D90" s="28">
        <f>+D91+D92</f>
        <v>123000</v>
      </c>
      <c r="E90" s="28"/>
      <c r="F90" s="28">
        <f>+D90+E90</f>
        <v>123000</v>
      </c>
      <c r="G90" s="28">
        <f>G91+G92</f>
        <v>46385.1</v>
      </c>
      <c r="H90" s="28"/>
      <c r="I90" s="28">
        <f>I91+I92</f>
        <v>46385.1</v>
      </c>
      <c r="J90" s="28">
        <f t="shared" si="41"/>
        <v>37.711463414634146</v>
      </c>
      <c r="S90" s="10">
        <f t="shared" si="31"/>
        <v>0</v>
      </c>
      <c r="T90" s="10">
        <f t="shared" si="32"/>
        <v>0</v>
      </c>
      <c r="U90" s="10">
        <f t="shared" si="33"/>
        <v>1</v>
      </c>
      <c r="V90" s="10">
        <f t="shared" si="34"/>
        <v>0</v>
      </c>
      <c r="W90" s="10">
        <f t="shared" si="35"/>
        <v>0</v>
      </c>
      <c r="X90" s="49">
        <f t="shared" si="36"/>
        <v>0</v>
      </c>
      <c r="Y90" s="49">
        <f t="shared" si="37"/>
        <v>0</v>
      </c>
      <c r="Z90" s="49">
        <f t="shared" si="38"/>
        <v>46385.1</v>
      </c>
      <c r="AA90" s="49">
        <f t="shared" si="39"/>
        <v>0</v>
      </c>
      <c r="AB90" s="49">
        <f t="shared" si="40"/>
        <v>0</v>
      </c>
    </row>
    <row r="91" spans="1:29" s="5" customFormat="1" ht="118.8" customHeight="1">
      <c r="A91" s="60"/>
      <c r="B91" s="52"/>
      <c r="C91" s="34" t="s">
        <v>15</v>
      </c>
      <c r="D91" s="25">
        <f>105000+13000+4725.3</f>
        <v>122725.3</v>
      </c>
      <c r="E91" s="29">
        <v>0</v>
      </c>
      <c r="F91" s="29">
        <f>D91+E91</f>
        <v>122725.3</v>
      </c>
      <c r="G91" s="29">
        <f>5431.3+345.5+6714.4+2113.8+3189.3+15079.1+3399.3+3132.4+3374.1+3331.2</f>
        <v>46110.400000000001</v>
      </c>
      <c r="H91" s="25"/>
      <c r="I91" s="29">
        <f>G91+H91</f>
        <v>46110.400000000001</v>
      </c>
      <c r="J91" s="29">
        <f t="shared" si="41"/>
        <v>37.572040972806747</v>
      </c>
      <c r="S91" s="10">
        <f t="shared" si="31"/>
        <v>0</v>
      </c>
      <c r="T91" s="10">
        <f t="shared" si="32"/>
        <v>0</v>
      </c>
      <c r="U91" s="10">
        <f t="shared" si="33"/>
        <v>0</v>
      </c>
      <c r="V91" s="10">
        <f t="shared" si="34"/>
        <v>0</v>
      </c>
      <c r="W91" s="10">
        <f t="shared" si="35"/>
        <v>0</v>
      </c>
      <c r="X91" s="49">
        <f t="shared" si="36"/>
        <v>0</v>
      </c>
      <c r="Y91" s="49">
        <f t="shared" si="37"/>
        <v>0</v>
      </c>
      <c r="Z91" s="49">
        <f t="shared" si="38"/>
        <v>0</v>
      </c>
      <c r="AA91" s="49">
        <f t="shared" si="39"/>
        <v>0</v>
      </c>
      <c r="AB91" s="49">
        <f t="shared" si="40"/>
        <v>0</v>
      </c>
    </row>
    <row r="92" spans="1:29" s="5" customFormat="1" ht="96" customHeight="1">
      <c r="A92" s="61"/>
      <c r="B92" s="51" t="s">
        <v>113</v>
      </c>
      <c r="C92" s="34" t="s">
        <v>67</v>
      </c>
      <c r="D92" s="25">
        <v>274.7</v>
      </c>
      <c r="E92" s="29"/>
      <c r="F92" s="29">
        <f>+E92+D92</f>
        <v>274.7</v>
      </c>
      <c r="G92" s="29">
        <v>274.7</v>
      </c>
      <c r="H92" s="25"/>
      <c r="I92" s="29">
        <f>G92+H92</f>
        <v>274.7</v>
      </c>
      <c r="J92" s="29">
        <f>I92/F92*100</f>
        <v>100</v>
      </c>
      <c r="S92" s="10">
        <f t="shared" si="31"/>
        <v>0</v>
      </c>
      <c r="T92" s="10">
        <f t="shared" si="32"/>
        <v>0</v>
      </c>
      <c r="U92" s="10">
        <f t="shared" si="33"/>
        <v>0</v>
      </c>
      <c r="V92" s="10">
        <f t="shared" si="34"/>
        <v>0</v>
      </c>
      <c r="W92" s="10">
        <f t="shared" si="35"/>
        <v>0</v>
      </c>
      <c r="X92" s="49">
        <f t="shared" si="36"/>
        <v>0</v>
      </c>
      <c r="Y92" s="49">
        <f t="shared" si="37"/>
        <v>0</v>
      </c>
      <c r="Z92" s="49">
        <f t="shared" si="38"/>
        <v>0</v>
      </c>
      <c r="AA92" s="49">
        <f t="shared" si="39"/>
        <v>0</v>
      </c>
      <c r="AB92" s="49">
        <f t="shared" si="40"/>
        <v>0</v>
      </c>
    </row>
    <row r="93" spans="1:29" s="5" customFormat="1" ht="64.8" customHeight="1">
      <c r="A93" s="40" t="s">
        <v>74</v>
      </c>
      <c r="B93" s="46" t="s">
        <v>73</v>
      </c>
      <c r="C93" s="34" t="s">
        <v>15</v>
      </c>
      <c r="D93" s="25">
        <v>18000</v>
      </c>
      <c r="E93" s="29"/>
      <c r="F93" s="29">
        <f>D93+E93</f>
        <v>18000</v>
      </c>
      <c r="G93" s="29">
        <f>5640+800+160+50+35+35</f>
        <v>6720</v>
      </c>
      <c r="H93" s="25"/>
      <c r="I93" s="29">
        <f>G93+H93</f>
        <v>6720</v>
      </c>
      <c r="J93" s="29">
        <f t="shared" si="41"/>
        <v>37.333333333333336</v>
      </c>
      <c r="S93" s="10">
        <f t="shared" si="31"/>
        <v>0</v>
      </c>
      <c r="T93" s="10">
        <f t="shared" si="32"/>
        <v>0</v>
      </c>
      <c r="U93" s="10">
        <f t="shared" si="33"/>
        <v>1</v>
      </c>
      <c r="V93" s="10">
        <f t="shared" si="34"/>
        <v>0</v>
      </c>
      <c r="W93" s="10">
        <f t="shared" si="35"/>
        <v>0</v>
      </c>
      <c r="X93" s="49">
        <f t="shared" si="36"/>
        <v>0</v>
      </c>
      <c r="Y93" s="49">
        <f t="shared" si="37"/>
        <v>0</v>
      </c>
      <c r="Z93" s="49">
        <f t="shared" si="38"/>
        <v>6720</v>
      </c>
      <c r="AA93" s="49">
        <f t="shared" si="39"/>
        <v>0</v>
      </c>
      <c r="AB93" s="49">
        <f t="shared" si="40"/>
        <v>0</v>
      </c>
    </row>
    <row r="94" spans="1:29" s="5" customFormat="1" ht="65.400000000000006" customHeight="1">
      <c r="A94" s="66" t="s">
        <v>62</v>
      </c>
      <c r="B94" s="66"/>
      <c r="C94" s="66"/>
      <c r="D94" s="26">
        <f>+D95</f>
        <v>318607.7</v>
      </c>
      <c r="E94" s="26">
        <f>+E95</f>
        <v>28732.3</v>
      </c>
      <c r="F94" s="30">
        <f>E94+D94</f>
        <v>347340</v>
      </c>
      <c r="G94" s="26">
        <f>+G95</f>
        <v>114221.4</v>
      </c>
      <c r="H94" s="26">
        <f>+H95</f>
        <v>2383</v>
      </c>
      <c r="I94" s="30">
        <f>H94+G94</f>
        <v>116604.4</v>
      </c>
      <c r="J94" s="30">
        <f t="shared" si="41"/>
        <v>33.570680025335406</v>
      </c>
      <c r="S94" s="10">
        <f t="shared" si="31"/>
        <v>0</v>
      </c>
      <c r="T94" s="10">
        <f t="shared" si="32"/>
        <v>0</v>
      </c>
      <c r="U94" s="10">
        <f t="shared" si="33"/>
        <v>0</v>
      </c>
      <c r="V94" s="10">
        <f t="shared" si="34"/>
        <v>0</v>
      </c>
      <c r="W94" s="10">
        <f t="shared" si="35"/>
        <v>0</v>
      </c>
      <c r="X94" s="49">
        <f t="shared" si="36"/>
        <v>0</v>
      </c>
      <c r="Y94" s="49">
        <f t="shared" si="37"/>
        <v>0</v>
      </c>
      <c r="Z94" s="49">
        <f t="shared" si="38"/>
        <v>0</v>
      </c>
      <c r="AA94" s="49">
        <f t="shared" si="39"/>
        <v>0</v>
      </c>
      <c r="AB94" s="49">
        <f t="shared" si="40"/>
        <v>0</v>
      </c>
    </row>
    <row r="95" spans="1:29" s="8" customFormat="1" ht="249.75" customHeight="1">
      <c r="A95" s="39" t="s">
        <v>40</v>
      </c>
      <c r="B95" s="36" t="s">
        <v>99</v>
      </c>
      <c r="C95" s="34" t="s">
        <v>62</v>
      </c>
      <c r="D95" s="25">
        <f>315000+600+1600-9732.3+500+600+16300-6260</f>
        <v>318607.7</v>
      </c>
      <c r="E95" s="29">
        <f>1195+9732.3+3975+6260+7570</f>
        <v>28732.3</v>
      </c>
      <c r="F95" s="29">
        <f>D95+E95</f>
        <v>347340</v>
      </c>
      <c r="G95" s="29">
        <f>783+100+6719.8+4200+2741.8+2118.7+499.3+652.9+176.3+363.3+52.9+1700+2333+95+3035.6+150.9+3002.4+8409.7+7292.9+9958.6+69.9+1601.6+350+1801+1765.9+6071+14147.1+83.4+33945.4</f>
        <v>114221.4</v>
      </c>
      <c r="H95" s="25">
        <f>190+670.5+259.3+27.9+74.5+1160.8</f>
        <v>2383</v>
      </c>
      <c r="I95" s="29">
        <f>G95+H95</f>
        <v>116604.4</v>
      </c>
      <c r="J95" s="29">
        <f t="shared" ref="J95:J102" si="42">I95/F95*100</f>
        <v>33.570680025335406</v>
      </c>
      <c r="S95" s="10">
        <f t="shared" si="31"/>
        <v>0</v>
      </c>
      <c r="T95" s="10">
        <f t="shared" si="32"/>
        <v>0</v>
      </c>
      <c r="U95" s="10">
        <f t="shared" si="33"/>
        <v>1</v>
      </c>
      <c r="V95" s="10">
        <f t="shared" si="34"/>
        <v>0</v>
      </c>
      <c r="W95" s="10">
        <f t="shared" si="35"/>
        <v>0</v>
      </c>
      <c r="X95" s="49">
        <f t="shared" si="36"/>
        <v>0</v>
      </c>
      <c r="Y95" s="49">
        <f t="shared" si="37"/>
        <v>0</v>
      </c>
      <c r="Z95" s="49">
        <f t="shared" si="38"/>
        <v>116604.4</v>
      </c>
      <c r="AA95" s="49">
        <f t="shared" si="39"/>
        <v>0</v>
      </c>
      <c r="AB95" s="49">
        <f t="shared" si="40"/>
        <v>0</v>
      </c>
    </row>
    <row r="96" spans="1:29" s="5" customFormat="1" ht="57.6" customHeight="1">
      <c r="A96" s="66" t="s">
        <v>18</v>
      </c>
      <c r="B96" s="66"/>
      <c r="C96" s="66"/>
      <c r="D96" s="30">
        <f>+D97</f>
        <v>18223.3</v>
      </c>
      <c r="E96" s="30">
        <f>+E97</f>
        <v>9702.7000000000007</v>
      </c>
      <c r="F96" s="30">
        <f>E96+D96</f>
        <v>27926</v>
      </c>
      <c r="G96" s="30">
        <f>+G97</f>
        <v>16595.383000000002</v>
      </c>
      <c r="H96" s="30">
        <f>+H97</f>
        <v>9698.35</v>
      </c>
      <c r="I96" s="30">
        <f>H96+G96</f>
        <v>26293.733</v>
      </c>
      <c r="J96" s="30">
        <f t="shared" si="42"/>
        <v>94.155027572871163</v>
      </c>
      <c r="S96" s="10">
        <f t="shared" si="31"/>
        <v>0</v>
      </c>
      <c r="T96" s="10">
        <f t="shared" si="32"/>
        <v>0</v>
      </c>
      <c r="U96" s="10">
        <f t="shared" si="33"/>
        <v>0</v>
      </c>
      <c r="V96" s="10">
        <f t="shared" si="34"/>
        <v>0</v>
      </c>
      <c r="W96" s="10">
        <f t="shared" si="35"/>
        <v>0</v>
      </c>
      <c r="X96" s="49">
        <f t="shared" si="36"/>
        <v>0</v>
      </c>
      <c r="Y96" s="49">
        <f t="shared" si="37"/>
        <v>0</v>
      </c>
      <c r="Z96" s="49">
        <f t="shared" si="38"/>
        <v>0</v>
      </c>
      <c r="AA96" s="49">
        <f t="shared" si="39"/>
        <v>0</v>
      </c>
      <c r="AB96" s="49">
        <f t="shared" si="40"/>
        <v>0</v>
      </c>
    </row>
    <row r="97" spans="1:28" s="5" customFormat="1" ht="192.75" customHeight="1">
      <c r="A97" s="57" t="s">
        <v>77</v>
      </c>
      <c r="B97" s="44" t="s">
        <v>109</v>
      </c>
      <c r="C97" s="37" t="s">
        <v>65</v>
      </c>
      <c r="D97" s="29">
        <f>+D98+D99+D100</f>
        <v>18223.3</v>
      </c>
      <c r="E97" s="29">
        <f>+E98+E99+E100</f>
        <v>9702.7000000000007</v>
      </c>
      <c r="F97" s="29">
        <f>E97+D97</f>
        <v>27926</v>
      </c>
      <c r="G97" s="29">
        <f>+G98+G99+G100</f>
        <v>16595.383000000002</v>
      </c>
      <c r="H97" s="29">
        <f>+H98+H99+H100</f>
        <v>9698.35</v>
      </c>
      <c r="I97" s="29">
        <f>H97+G97</f>
        <v>26293.733</v>
      </c>
      <c r="J97" s="29">
        <f t="shared" si="42"/>
        <v>94.155027572871163</v>
      </c>
      <c r="L97" s="12"/>
      <c r="M97" s="12"/>
      <c r="S97" s="10">
        <f t="shared" si="31"/>
        <v>0</v>
      </c>
      <c r="T97" s="10">
        <f t="shared" si="32"/>
        <v>0</v>
      </c>
      <c r="U97" s="10">
        <f t="shared" si="33"/>
        <v>0</v>
      </c>
      <c r="V97" s="10">
        <f t="shared" si="34"/>
        <v>1</v>
      </c>
      <c r="W97" s="10">
        <f t="shared" si="35"/>
        <v>0</v>
      </c>
      <c r="X97" s="49">
        <f t="shared" si="36"/>
        <v>0</v>
      </c>
      <c r="Y97" s="49">
        <f t="shared" si="37"/>
        <v>0</v>
      </c>
      <c r="Z97" s="49">
        <f t="shared" si="38"/>
        <v>0</v>
      </c>
      <c r="AA97" s="49">
        <f t="shared" si="39"/>
        <v>26293.733</v>
      </c>
      <c r="AB97" s="49">
        <f t="shared" si="40"/>
        <v>0</v>
      </c>
    </row>
    <row r="98" spans="1:28" s="5" customFormat="1" ht="57" customHeight="1">
      <c r="A98" s="58"/>
      <c r="B98" s="34" t="s">
        <v>110</v>
      </c>
      <c r="C98" s="74" t="s">
        <v>18</v>
      </c>
      <c r="D98" s="29">
        <v>4576</v>
      </c>
      <c r="E98" s="29">
        <v>250</v>
      </c>
      <c r="F98" s="29">
        <f>E98+D98</f>
        <v>4826</v>
      </c>
      <c r="G98" s="29">
        <f>448.8+3.6+183.1+2.8+145.1+2.8+171.1+142.6+191.2+70.7+151.3+1.1+221.6+168.5+254.8+155+0.6+422-185.6+157.5+240.3</f>
        <v>2948.9</v>
      </c>
      <c r="H98" s="29">
        <f>147+38.6+12.9+47.2</f>
        <v>245.7</v>
      </c>
      <c r="I98" s="31">
        <f>H98+G98</f>
        <v>3194.6</v>
      </c>
      <c r="J98" s="31">
        <f t="shared" si="42"/>
        <v>66.195607128056352</v>
      </c>
      <c r="S98" s="10">
        <f t="shared" si="31"/>
        <v>0</v>
      </c>
      <c r="T98" s="10">
        <f t="shared" si="32"/>
        <v>0</v>
      </c>
      <c r="U98" s="10">
        <f t="shared" si="33"/>
        <v>0</v>
      </c>
      <c r="V98" s="10">
        <f t="shared" si="34"/>
        <v>0</v>
      </c>
      <c r="W98" s="10">
        <f t="shared" si="35"/>
        <v>0</v>
      </c>
      <c r="X98" s="49">
        <f t="shared" si="36"/>
        <v>0</v>
      </c>
      <c r="Y98" s="49">
        <f t="shared" si="37"/>
        <v>0</v>
      </c>
      <c r="Z98" s="49">
        <f t="shared" si="38"/>
        <v>0</v>
      </c>
      <c r="AA98" s="49">
        <f t="shared" si="39"/>
        <v>0</v>
      </c>
      <c r="AB98" s="49">
        <f t="shared" si="40"/>
        <v>0</v>
      </c>
    </row>
    <row r="99" spans="1:28" s="5" customFormat="1" ht="89.25" customHeight="1">
      <c r="A99" s="57"/>
      <c r="B99" s="35" t="s">
        <v>111</v>
      </c>
      <c r="C99" s="75"/>
      <c r="D99" s="27">
        <v>2100</v>
      </c>
      <c r="E99" s="31"/>
      <c r="F99" s="31">
        <f>D99+E99</f>
        <v>2100</v>
      </c>
      <c r="G99" s="31">
        <f>399.9+1423.583+275.7</f>
        <v>2099.183</v>
      </c>
      <c r="H99" s="27"/>
      <c r="I99" s="31">
        <f>G99+H99</f>
        <v>2099.183</v>
      </c>
      <c r="J99" s="31">
        <f t="shared" si="42"/>
        <v>99.961095238095226</v>
      </c>
      <c r="S99" s="10">
        <f t="shared" si="31"/>
        <v>0</v>
      </c>
      <c r="T99" s="10">
        <f t="shared" si="32"/>
        <v>0</v>
      </c>
      <c r="U99" s="10">
        <f t="shared" si="33"/>
        <v>0</v>
      </c>
      <c r="V99" s="10">
        <f t="shared" si="34"/>
        <v>0</v>
      </c>
      <c r="W99" s="10">
        <f t="shared" si="35"/>
        <v>0</v>
      </c>
      <c r="X99" s="49">
        <f t="shared" si="36"/>
        <v>0</v>
      </c>
      <c r="Y99" s="49">
        <f t="shared" si="37"/>
        <v>0</v>
      </c>
      <c r="Z99" s="49">
        <f t="shared" si="38"/>
        <v>0</v>
      </c>
      <c r="AA99" s="49">
        <f t="shared" si="39"/>
        <v>0</v>
      </c>
      <c r="AB99" s="49">
        <f t="shared" si="40"/>
        <v>0</v>
      </c>
    </row>
    <row r="100" spans="1:28" s="5" customFormat="1" ht="129.75" customHeight="1">
      <c r="A100" s="57"/>
      <c r="B100" s="35" t="s">
        <v>112</v>
      </c>
      <c r="C100" s="75"/>
      <c r="D100" s="27">
        <f>8952.3+1290+500+805</f>
        <v>11547.3</v>
      </c>
      <c r="E100" s="31">
        <f>8947.7+810+500-805</f>
        <v>9452.7000000000007</v>
      </c>
      <c r="F100" s="31">
        <f>D100+E100</f>
        <v>21000</v>
      </c>
      <c r="G100" s="31">
        <f>1438+3967.05+3114.25+1570+653+805</f>
        <v>11547.3</v>
      </c>
      <c r="H100" s="27">
        <f>462+4765-462+3985.75+950+556.9-805</f>
        <v>9452.65</v>
      </c>
      <c r="I100" s="31">
        <f>G100+H100</f>
        <v>20999.949999999997</v>
      </c>
      <c r="J100" s="31">
        <f t="shared" si="42"/>
        <v>99.999761904761883</v>
      </c>
      <c r="S100" s="10">
        <f t="shared" si="31"/>
        <v>0</v>
      </c>
      <c r="T100" s="10">
        <f t="shared" si="32"/>
        <v>0</v>
      </c>
      <c r="U100" s="10">
        <f t="shared" si="33"/>
        <v>0</v>
      </c>
      <c r="V100" s="10">
        <f t="shared" si="34"/>
        <v>0</v>
      </c>
      <c r="W100" s="10">
        <f t="shared" si="35"/>
        <v>0</v>
      </c>
      <c r="X100" s="49">
        <f t="shared" si="36"/>
        <v>0</v>
      </c>
      <c r="Y100" s="49">
        <f t="shared" si="37"/>
        <v>0</v>
      </c>
      <c r="Z100" s="49">
        <f t="shared" si="38"/>
        <v>0</v>
      </c>
      <c r="AA100" s="49">
        <f t="shared" si="39"/>
        <v>0</v>
      </c>
      <c r="AB100" s="49">
        <f t="shared" si="40"/>
        <v>0</v>
      </c>
    </row>
    <row r="101" spans="1:28" s="5" customFormat="1" ht="53.4" customHeight="1">
      <c r="A101" s="70" t="s">
        <v>59</v>
      </c>
      <c r="B101" s="70"/>
      <c r="C101" s="70"/>
      <c r="D101" s="23">
        <f>+D102+D104</f>
        <v>18000</v>
      </c>
      <c r="E101" s="23">
        <f>+E102+E104</f>
        <v>6000</v>
      </c>
      <c r="F101" s="28">
        <f>E101+D101</f>
        <v>24000</v>
      </c>
      <c r="G101" s="23">
        <f>+G102+G103</f>
        <v>8410.8000000000011</v>
      </c>
      <c r="H101" s="23">
        <f>+H102+H104</f>
        <v>0</v>
      </c>
      <c r="I101" s="28">
        <f>H101+G101</f>
        <v>8410.8000000000011</v>
      </c>
      <c r="J101" s="28">
        <f t="shared" si="42"/>
        <v>35.045000000000002</v>
      </c>
      <c r="S101" s="10">
        <f t="shared" si="31"/>
        <v>0</v>
      </c>
      <c r="T101" s="10">
        <f t="shared" si="32"/>
        <v>0</v>
      </c>
      <c r="U101" s="10">
        <f t="shared" si="33"/>
        <v>0</v>
      </c>
      <c r="V101" s="10">
        <f t="shared" si="34"/>
        <v>0</v>
      </c>
      <c r="W101" s="10">
        <f t="shared" si="35"/>
        <v>0</v>
      </c>
      <c r="X101" s="49">
        <f t="shared" si="36"/>
        <v>0</v>
      </c>
      <c r="Y101" s="49">
        <f t="shared" si="37"/>
        <v>0</v>
      </c>
      <c r="Z101" s="49">
        <f t="shared" si="38"/>
        <v>0</v>
      </c>
      <c r="AA101" s="49">
        <f t="shared" si="39"/>
        <v>0</v>
      </c>
      <c r="AB101" s="49">
        <f t="shared" si="40"/>
        <v>0</v>
      </c>
    </row>
    <row r="102" spans="1:28" s="5" customFormat="1" ht="112.2" customHeight="1">
      <c r="A102" s="40" t="s">
        <v>121</v>
      </c>
      <c r="B102" s="46" t="s">
        <v>9</v>
      </c>
      <c r="C102" s="34" t="s">
        <v>59</v>
      </c>
      <c r="D102" s="25">
        <v>18000</v>
      </c>
      <c r="E102" s="25"/>
      <c r="F102" s="29">
        <f t="shared" ref="F102:F111" si="43">D102+E102</f>
        <v>18000</v>
      </c>
      <c r="G102" s="29">
        <f>1167.5+546+440.9+2136.8+429.9+608.9+288.3+1913+169.3+204.7+166.8+65+273.7</f>
        <v>8410.8000000000011</v>
      </c>
      <c r="H102" s="25"/>
      <c r="I102" s="29">
        <f t="shared" ref="I102:I110" si="44">G102+H102</f>
        <v>8410.8000000000011</v>
      </c>
      <c r="J102" s="29">
        <f t="shared" si="42"/>
        <v>46.726666666666674</v>
      </c>
      <c r="S102" s="10">
        <f t="shared" si="31"/>
        <v>0</v>
      </c>
      <c r="T102" s="10">
        <f t="shared" si="32"/>
        <v>0</v>
      </c>
      <c r="U102" s="10">
        <f t="shared" si="33"/>
        <v>1</v>
      </c>
      <c r="V102" s="10">
        <f t="shared" si="34"/>
        <v>0</v>
      </c>
      <c r="W102" s="10">
        <f t="shared" si="35"/>
        <v>0</v>
      </c>
      <c r="X102" s="49">
        <f t="shared" si="36"/>
        <v>0</v>
      </c>
      <c r="Y102" s="49">
        <f t="shared" si="37"/>
        <v>0</v>
      </c>
      <c r="Z102" s="49">
        <f t="shared" si="38"/>
        <v>8410.8000000000011</v>
      </c>
      <c r="AA102" s="49">
        <f t="shared" si="39"/>
        <v>0</v>
      </c>
      <c r="AB102" s="49">
        <f t="shared" si="40"/>
        <v>0</v>
      </c>
    </row>
    <row r="103" spans="1:28" s="5" customFormat="1" ht="49.8" customHeight="1">
      <c r="A103" s="59" t="s">
        <v>41</v>
      </c>
      <c r="B103" s="1" t="s">
        <v>10</v>
      </c>
      <c r="C103" s="37" t="s">
        <v>65</v>
      </c>
      <c r="D103" s="23">
        <f>+D104+D105+D106+D107</f>
        <v>0</v>
      </c>
      <c r="E103" s="23">
        <f>+E104+E105+E106+E107</f>
        <v>35300</v>
      </c>
      <c r="F103" s="23">
        <f>+D103+E103</f>
        <v>35300</v>
      </c>
      <c r="G103" s="23">
        <f>+G104+G105+G106+G107</f>
        <v>0</v>
      </c>
      <c r="H103" s="23">
        <f>+H104+H105+H106+H107</f>
        <v>15537.499999999998</v>
      </c>
      <c r="I103" s="28">
        <f t="shared" si="44"/>
        <v>15537.499999999998</v>
      </c>
      <c r="J103" s="28">
        <f t="shared" ref="J103:J110" si="45">I103/F103*100</f>
        <v>44.015580736543903</v>
      </c>
      <c r="S103" s="10">
        <f t="shared" si="31"/>
        <v>0</v>
      </c>
      <c r="T103" s="10">
        <f t="shared" si="32"/>
        <v>0</v>
      </c>
      <c r="U103" s="10">
        <f t="shared" si="33"/>
        <v>1</v>
      </c>
      <c r="V103" s="10">
        <f t="shared" si="34"/>
        <v>0</v>
      </c>
      <c r="W103" s="10">
        <f t="shared" si="35"/>
        <v>0</v>
      </c>
      <c r="X103" s="49">
        <f t="shared" si="36"/>
        <v>0</v>
      </c>
      <c r="Y103" s="49">
        <f t="shared" si="37"/>
        <v>0</v>
      </c>
      <c r="Z103" s="49">
        <f t="shared" si="38"/>
        <v>15537.499999999998</v>
      </c>
      <c r="AA103" s="49">
        <f t="shared" si="39"/>
        <v>0</v>
      </c>
      <c r="AB103" s="49">
        <f t="shared" si="40"/>
        <v>0</v>
      </c>
    </row>
    <row r="104" spans="1:28" s="5" customFormat="1" ht="76.2" customHeight="1">
      <c r="A104" s="60"/>
      <c r="B104" s="72"/>
      <c r="C104" s="34" t="s">
        <v>59</v>
      </c>
      <c r="D104" s="25"/>
      <c r="E104" s="29">
        <f>700+5300</f>
        <v>6000</v>
      </c>
      <c r="F104" s="29">
        <f t="shared" si="43"/>
        <v>6000</v>
      </c>
      <c r="G104" s="29"/>
      <c r="H104" s="25"/>
      <c r="I104" s="29">
        <f>G104+H104</f>
        <v>0</v>
      </c>
      <c r="J104" s="29">
        <f t="shared" si="45"/>
        <v>0</v>
      </c>
      <c r="S104" s="10">
        <f t="shared" si="31"/>
        <v>0</v>
      </c>
      <c r="T104" s="10">
        <f t="shared" si="32"/>
        <v>0</v>
      </c>
      <c r="U104" s="10">
        <f t="shared" si="33"/>
        <v>0</v>
      </c>
      <c r="V104" s="10">
        <f t="shared" si="34"/>
        <v>0</v>
      </c>
      <c r="W104" s="10">
        <f t="shared" si="35"/>
        <v>0</v>
      </c>
      <c r="X104" s="49">
        <f t="shared" si="36"/>
        <v>0</v>
      </c>
      <c r="Y104" s="49">
        <f t="shared" si="37"/>
        <v>0</v>
      </c>
      <c r="Z104" s="49">
        <f t="shared" si="38"/>
        <v>0</v>
      </c>
      <c r="AA104" s="49">
        <f t="shared" si="39"/>
        <v>0</v>
      </c>
      <c r="AB104" s="49">
        <f t="shared" si="40"/>
        <v>0</v>
      </c>
    </row>
    <row r="105" spans="1:28" s="5" customFormat="1" ht="60.6" customHeight="1">
      <c r="A105" s="60"/>
      <c r="B105" s="72"/>
      <c r="C105" s="34" t="s">
        <v>11</v>
      </c>
      <c r="D105" s="25"/>
      <c r="E105" s="29">
        <v>15044.1</v>
      </c>
      <c r="F105" s="29">
        <f>D105+E105</f>
        <v>15044.1</v>
      </c>
      <c r="G105" s="29"/>
      <c r="H105" s="25">
        <f>308.6+2436.1+1259.6+313.8+1859.1+823+1777.1</f>
        <v>8777.2999999999993</v>
      </c>
      <c r="I105" s="29">
        <f>G105+H105</f>
        <v>8777.2999999999993</v>
      </c>
      <c r="J105" s="29">
        <f t="shared" si="45"/>
        <v>58.343802553825086</v>
      </c>
      <c r="S105" s="10">
        <f t="shared" si="31"/>
        <v>0</v>
      </c>
      <c r="T105" s="10">
        <f t="shared" si="32"/>
        <v>0</v>
      </c>
      <c r="U105" s="10">
        <f t="shared" si="33"/>
        <v>0</v>
      </c>
      <c r="V105" s="10">
        <f t="shared" si="34"/>
        <v>0</v>
      </c>
      <c r="W105" s="10">
        <f t="shared" si="35"/>
        <v>0</v>
      </c>
      <c r="X105" s="49">
        <f t="shared" si="36"/>
        <v>0</v>
      </c>
      <c r="Y105" s="49">
        <f t="shared" si="37"/>
        <v>0</v>
      </c>
      <c r="Z105" s="49">
        <f t="shared" si="38"/>
        <v>0</v>
      </c>
      <c r="AA105" s="49">
        <f t="shared" si="39"/>
        <v>0</v>
      </c>
      <c r="AB105" s="49">
        <f t="shared" si="40"/>
        <v>0</v>
      </c>
    </row>
    <row r="106" spans="1:28" s="5" customFormat="1" ht="55.8" customHeight="1">
      <c r="A106" s="60"/>
      <c r="B106" s="72"/>
      <c r="C106" s="34" t="s">
        <v>82</v>
      </c>
      <c r="D106" s="25"/>
      <c r="E106" s="29">
        <v>3378.4</v>
      </c>
      <c r="F106" s="29">
        <f>D106+E106</f>
        <v>3378.4</v>
      </c>
      <c r="G106" s="29"/>
      <c r="H106" s="25">
        <f>789.7+325.1+408.8+510.8+917.3+232.1</f>
        <v>3183.7999999999997</v>
      </c>
      <c r="I106" s="29">
        <f>G106+H106</f>
        <v>3183.7999999999997</v>
      </c>
      <c r="J106" s="29">
        <f t="shared" si="45"/>
        <v>94.239876864788059</v>
      </c>
      <c r="S106" s="10">
        <f t="shared" si="31"/>
        <v>0</v>
      </c>
      <c r="T106" s="10">
        <f t="shared" si="32"/>
        <v>0</v>
      </c>
      <c r="U106" s="10">
        <f t="shared" si="33"/>
        <v>0</v>
      </c>
      <c r="V106" s="10">
        <f t="shared" si="34"/>
        <v>0</v>
      </c>
      <c r="W106" s="10">
        <f t="shared" si="35"/>
        <v>0</v>
      </c>
      <c r="X106" s="49">
        <f t="shared" si="36"/>
        <v>0</v>
      </c>
      <c r="Y106" s="49">
        <f t="shared" si="37"/>
        <v>0</v>
      </c>
      <c r="Z106" s="49">
        <f t="shared" si="38"/>
        <v>0</v>
      </c>
      <c r="AA106" s="49">
        <f t="shared" si="39"/>
        <v>0</v>
      </c>
      <c r="AB106" s="49">
        <f t="shared" si="40"/>
        <v>0</v>
      </c>
    </row>
    <row r="107" spans="1:28" s="5" customFormat="1" ht="70.8" customHeight="1">
      <c r="A107" s="61"/>
      <c r="B107" s="52"/>
      <c r="C107" s="34" t="s">
        <v>24</v>
      </c>
      <c r="D107" s="25"/>
      <c r="E107" s="29">
        <v>10877.5</v>
      </c>
      <c r="F107" s="29">
        <f>D107+E107</f>
        <v>10877.5</v>
      </c>
      <c r="G107" s="29"/>
      <c r="H107" s="25">
        <f>1080.6+1500+702.9+292.9</f>
        <v>3576.4</v>
      </c>
      <c r="I107" s="29">
        <f>G107+H107</f>
        <v>3576.4</v>
      </c>
      <c r="J107" s="29">
        <f t="shared" si="45"/>
        <v>32.878878418754311</v>
      </c>
      <c r="S107" s="10">
        <f t="shared" si="31"/>
        <v>0</v>
      </c>
      <c r="T107" s="10">
        <f t="shared" si="32"/>
        <v>0</v>
      </c>
      <c r="U107" s="10">
        <f t="shared" si="33"/>
        <v>0</v>
      </c>
      <c r="V107" s="10">
        <f t="shared" si="34"/>
        <v>0</v>
      </c>
      <c r="W107" s="10">
        <f t="shared" si="35"/>
        <v>0</v>
      </c>
      <c r="X107" s="49">
        <f t="shared" si="36"/>
        <v>0</v>
      </c>
      <c r="Y107" s="49">
        <f t="shared" si="37"/>
        <v>0</v>
      </c>
      <c r="Z107" s="49">
        <f t="shared" si="38"/>
        <v>0</v>
      </c>
      <c r="AA107" s="49">
        <f t="shared" si="39"/>
        <v>0</v>
      </c>
      <c r="AB107" s="49">
        <f t="shared" si="40"/>
        <v>0</v>
      </c>
    </row>
    <row r="108" spans="1:28" s="5" customFormat="1" ht="57" customHeight="1">
      <c r="A108" s="66" t="s">
        <v>57</v>
      </c>
      <c r="B108" s="66"/>
      <c r="C108" s="66"/>
      <c r="D108" s="26">
        <f>+D109+D110</f>
        <v>9400</v>
      </c>
      <c r="E108" s="26">
        <f>+E109+E110</f>
        <v>0</v>
      </c>
      <c r="F108" s="30">
        <f t="shared" si="43"/>
        <v>9400</v>
      </c>
      <c r="G108" s="30">
        <f>+G109+G110</f>
        <v>6681.3140000000003</v>
      </c>
      <c r="H108" s="30">
        <f>+H109+H110</f>
        <v>0</v>
      </c>
      <c r="I108" s="30">
        <f t="shared" si="44"/>
        <v>6681.3140000000003</v>
      </c>
      <c r="J108" s="30">
        <f t="shared" si="45"/>
        <v>71.077808510638292</v>
      </c>
      <c r="S108" s="10">
        <f t="shared" si="31"/>
        <v>0</v>
      </c>
      <c r="T108" s="10">
        <f t="shared" si="32"/>
        <v>0</v>
      </c>
      <c r="U108" s="10">
        <f t="shared" si="33"/>
        <v>0</v>
      </c>
      <c r="V108" s="10">
        <f t="shared" si="34"/>
        <v>0</v>
      </c>
      <c r="W108" s="10">
        <f t="shared" si="35"/>
        <v>0</v>
      </c>
      <c r="X108" s="49">
        <f t="shared" si="36"/>
        <v>0</v>
      </c>
      <c r="Y108" s="49">
        <f t="shared" si="37"/>
        <v>0</v>
      </c>
      <c r="Z108" s="49">
        <f t="shared" si="38"/>
        <v>0</v>
      </c>
      <c r="AA108" s="49">
        <f t="shared" si="39"/>
        <v>0</v>
      </c>
      <c r="AB108" s="49">
        <f t="shared" si="40"/>
        <v>0</v>
      </c>
    </row>
    <row r="109" spans="1:28" s="5" customFormat="1" ht="81.75" customHeight="1">
      <c r="A109" s="39" t="s">
        <v>122</v>
      </c>
      <c r="B109" s="38" t="s">
        <v>58</v>
      </c>
      <c r="C109" s="34" t="s">
        <v>57</v>
      </c>
      <c r="D109" s="25">
        <f>3000+1400</f>
        <v>4400</v>
      </c>
      <c r="E109" s="29"/>
      <c r="F109" s="29">
        <f t="shared" si="43"/>
        <v>4400</v>
      </c>
      <c r="G109" s="29">
        <f>147.34+131.3+197.274+249.8+382.5+294.3+25.5+253.3</f>
        <v>1681.3139999999999</v>
      </c>
      <c r="H109" s="25"/>
      <c r="I109" s="29">
        <f t="shared" si="44"/>
        <v>1681.3139999999999</v>
      </c>
      <c r="J109" s="29">
        <f t="shared" si="45"/>
        <v>38.211681818181816</v>
      </c>
      <c r="S109" s="10">
        <f t="shared" si="31"/>
        <v>0</v>
      </c>
      <c r="T109" s="10">
        <f t="shared" si="32"/>
        <v>0</v>
      </c>
      <c r="U109" s="10">
        <f t="shared" si="33"/>
        <v>1</v>
      </c>
      <c r="V109" s="10">
        <f t="shared" si="34"/>
        <v>0</v>
      </c>
      <c r="W109" s="10">
        <f t="shared" si="35"/>
        <v>0</v>
      </c>
      <c r="X109" s="49">
        <f t="shared" si="36"/>
        <v>0</v>
      </c>
      <c r="Y109" s="49">
        <f t="shared" si="37"/>
        <v>0</v>
      </c>
      <c r="Z109" s="49">
        <f t="shared" si="38"/>
        <v>1681.3139999999999</v>
      </c>
      <c r="AA109" s="49">
        <f t="shared" si="39"/>
        <v>0</v>
      </c>
      <c r="AB109" s="49">
        <f t="shared" si="40"/>
        <v>0</v>
      </c>
    </row>
    <row r="110" spans="1:28" s="5" customFormat="1" ht="114.75" customHeight="1">
      <c r="A110" s="40" t="s">
        <v>130</v>
      </c>
      <c r="B110" s="38" t="s">
        <v>107</v>
      </c>
      <c r="C110" s="34" t="s">
        <v>57</v>
      </c>
      <c r="D110" s="25">
        <v>5000</v>
      </c>
      <c r="E110" s="29"/>
      <c r="F110" s="29">
        <f t="shared" si="43"/>
        <v>5000</v>
      </c>
      <c r="G110" s="29">
        <f>2475+2475+50</f>
        <v>5000</v>
      </c>
      <c r="H110" s="25"/>
      <c r="I110" s="29">
        <f t="shared" si="44"/>
        <v>5000</v>
      </c>
      <c r="J110" s="29">
        <f t="shared" si="45"/>
        <v>100</v>
      </c>
      <c r="S110" s="10">
        <f t="shared" si="31"/>
        <v>0</v>
      </c>
      <c r="T110" s="10">
        <f t="shared" si="32"/>
        <v>0</v>
      </c>
      <c r="U110" s="10">
        <f t="shared" si="33"/>
        <v>0</v>
      </c>
      <c r="V110" s="10">
        <f t="shared" si="34"/>
        <v>0</v>
      </c>
      <c r="W110" s="10">
        <f t="shared" si="35"/>
        <v>1</v>
      </c>
      <c r="X110" s="49">
        <f t="shared" si="36"/>
        <v>0</v>
      </c>
      <c r="Y110" s="49">
        <f t="shared" si="37"/>
        <v>0</v>
      </c>
      <c r="Z110" s="49">
        <f t="shared" si="38"/>
        <v>0</v>
      </c>
      <c r="AA110" s="49">
        <f t="shared" si="39"/>
        <v>0</v>
      </c>
      <c r="AB110" s="49">
        <f t="shared" si="40"/>
        <v>5000</v>
      </c>
    </row>
    <row r="111" spans="1:28" s="16" customFormat="1" ht="36" customHeight="1">
      <c r="A111" s="71" t="s">
        <v>139</v>
      </c>
      <c r="B111" s="71"/>
      <c r="C111" s="71"/>
      <c r="D111" s="28">
        <f>+D5+D10+D12+D21+D29+D31+D39+D43+D51+D61+D65+D68+D73+D82+D84+D89+D94+D96+D101+D108</f>
        <v>1185320.1800000002</v>
      </c>
      <c r="E111" s="28">
        <f>+E5+E10+E12+E21+E29+E31+E39+E43+E51+E61+E65+E68+E73+E82+E84+E89+E94+E96+E101+E108</f>
        <v>402702.78899999999</v>
      </c>
      <c r="F111" s="28">
        <f t="shared" si="43"/>
        <v>1588022.969</v>
      </c>
      <c r="G111" s="28">
        <f>+G5+G10+G12+G21+G29+G31+G39+G43+G51+G61+G65+G68+G73+G82+G84+G89+G94+G96+G101+G108</f>
        <v>559103.95100000012</v>
      </c>
      <c r="H111" s="28">
        <f>+H5+H10+H12+H21+H29+H31+H39+H43+H51+H61+H65+H68+H73+H82+H84+H89+H94+H96+H101+H108</f>
        <v>185959.084</v>
      </c>
      <c r="I111" s="28">
        <f>G111+H111</f>
        <v>745063.03500000015</v>
      </c>
      <c r="J111" s="28">
        <f>I111/F111*100</f>
        <v>46.917648519226177</v>
      </c>
      <c r="L111" s="17"/>
      <c r="S111" s="18">
        <f>SUM(S5:S110)</f>
        <v>0</v>
      </c>
      <c r="T111" s="18">
        <f t="shared" ref="T111:AB111" si="46">SUM(T5:T110)</f>
        <v>3</v>
      </c>
      <c r="U111" s="18">
        <f t="shared" si="46"/>
        <v>25</v>
      </c>
      <c r="V111" s="18">
        <f t="shared" si="46"/>
        <v>2</v>
      </c>
      <c r="W111" s="18">
        <f t="shared" si="46"/>
        <v>2</v>
      </c>
      <c r="X111" s="50">
        <f t="shared" si="46"/>
        <v>0</v>
      </c>
      <c r="Y111" s="48">
        <f t="shared" si="46"/>
        <v>3104.9429999999998</v>
      </c>
      <c r="Z111" s="48">
        <f t="shared" si="46"/>
        <v>687614.35900000005</v>
      </c>
      <c r="AA111" s="48">
        <f t="shared" si="46"/>
        <v>44343.733</v>
      </c>
      <c r="AB111" s="48">
        <f t="shared" si="46"/>
        <v>10000</v>
      </c>
    </row>
    <row r="112" spans="1:28">
      <c r="A112" s="19"/>
      <c r="B112" s="19"/>
      <c r="C112" s="19"/>
      <c r="D112" s="19"/>
      <c r="E112" s="19"/>
      <c r="F112" s="19"/>
      <c r="G112" s="19"/>
      <c r="H112" s="19"/>
      <c r="I112" s="20"/>
      <c r="J112" s="19"/>
    </row>
    <row r="113" spans="1:29">
      <c r="A113" s="8"/>
      <c r="B113" s="8"/>
      <c r="C113" s="8"/>
      <c r="D113" s="8"/>
      <c r="E113" s="8"/>
      <c r="F113" s="8"/>
      <c r="G113" s="8"/>
      <c r="H113" s="8"/>
      <c r="I113" s="8"/>
      <c r="J113" s="8"/>
    </row>
    <row r="114" spans="1:29">
      <c r="A114" s="8"/>
      <c r="B114" s="8"/>
      <c r="C114" s="8"/>
      <c r="D114" s="8"/>
      <c r="E114" s="8"/>
      <c r="F114" s="8"/>
      <c r="G114" s="8"/>
      <c r="H114" s="8"/>
      <c r="I114" s="8"/>
      <c r="J114" s="8"/>
    </row>
    <row r="115" spans="1:29">
      <c r="A115" s="8"/>
      <c r="B115" s="8"/>
      <c r="C115" s="8"/>
      <c r="D115" s="8"/>
      <c r="E115" s="8"/>
      <c r="F115" s="8"/>
      <c r="G115" s="8"/>
      <c r="H115" s="8"/>
      <c r="I115" s="8"/>
      <c r="J115" s="8"/>
    </row>
    <row r="116" spans="1:29">
      <c r="A116" s="8"/>
      <c r="B116" s="8"/>
      <c r="C116" s="8"/>
      <c r="D116" s="8"/>
      <c r="E116" s="8"/>
      <c r="F116" s="8"/>
      <c r="G116" s="8"/>
      <c r="H116" s="8"/>
      <c r="I116" s="8"/>
      <c r="J116" s="8"/>
    </row>
    <row r="117" spans="1:29">
      <c r="A117" s="8"/>
      <c r="B117" s="8"/>
      <c r="C117" s="8"/>
      <c r="D117" s="8"/>
      <c r="E117" s="8"/>
      <c r="F117" s="8"/>
      <c r="G117" s="8"/>
      <c r="H117" s="8"/>
      <c r="I117" s="8"/>
      <c r="J117" s="8"/>
    </row>
    <row r="118" spans="1:29" s="8" customFormat="1">
      <c r="R118"/>
      <c r="S118"/>
      <c r="T118"/>
      <c r="U118"/>
      <c r="V118"/>
      <c r="W118"/>
      <c r="X118"/>
      <c r="Y118"/>
      <c r="Z118"/>
      <c r="AA118"/>
      <c r="AB118"/>
      <c r="AC118"/>
    </row>
    <row r="119" spans="1:29" s="8" customFormat="1"/>
    <row r="120" spans="1:29" s="8" customFormat="1"/>
    <row r="121" spans="1:29" s="8" customFormat="1"/>
    <row r="122" spans="1:29" s="8" customFormat="1"/>
    <row r="123" spans="1:29" s="8" customFormat="1"/>
    <row r="124" spans="1:29" s="8" customFormat="1"/>
    <row r="125" spans="1:29" s="8" customFormat="1"/>
    <row r="126" spans="1:29" s="8" customFormat="1"/>
    <row r="127" spans="1:29" s="8" customFormat="1"/>
    <row r="128" spans="1:29" s="8" customFormat="1"/>
    <row r="129" s="8" customFormat="1"/>
    <row r="130" s="8" customFormat="1"/>
    <row r="131" s="8" customFormat="1"/>
    <row r="132" s="8" customFormat="1"/>
    <row r="133" s="8" customFormat="1"/>
    <row r="134" s="8" customFormat="1"/>
    <row r="135" s="8" customFormat="1"/>
    <row r="136" s="8" customFormat="1"/>
    <row r="137" s="8" customFormat="1"/>
    <row r="138" s="8" customFormat="1"/>
    <row r="139" s="8" customFormat="1"/>
    <row r="140" s="8" customFormat="1"/>
    <row r="141" s="8" customFormat="1"/>
    <row r="142" s="8" customFormat="1"/>
    <row r="143" s="8" customFormat="1"/>
    <row r="144" s="8" customFormat="1"/>
    <row r="145" s="8" customFormat="1"/>
    <row r="146" s="8" customFormat="1"/>
    <row r="147" s="8" customFormat="1"/>
    <row r="148" s="8" customFormat="1"/>
    <row r="149" s="8" customFormat="1"/>
    <row r="150" s="8" customFormat="1"/>
    <row r="151" s="8" customFormat="1"/>
    <row r="152" s="8" customFormat="1"/>
    <row r="153" s="8" customFormat="1"/>
    <row r="154" s="8" customFormat="1"/>
    <row r="155" s="8" customFormat="1"/>
    <row r="156" s="8" customFormat="1"/>
    <row r="157" s="8" customFormat="1"/>
    <row r="158" s="8" customFormat="1"/>
    <row r="159" s="8" customFormat="1"/>
    <row r="160" s="8" customFormat="1"/>
    <row r="161" s="8" customFormat="1"/>
    <row r="162" s="8" customFormat="1"/>
    <row r="163" s="8" customFormat="1"/>
    <row r="164" s="8" customFormat="1"/>
    <row r="165" s="8" customFormat="1"/>
    <row r="166" s="8" customFormat="1"/>
    <row r="167" s="8" customFormat="1"/>
    <row r="168" s="8" customFormat="1"/>
    <row r="169" s="8" customFormat="1"/>
    <row r="170" s="8" customFormat="1"/>
    <row r="171" s="8" customFormat="1"/>
    <row r="172" s="8" customFormat="1"/>
    <row r="173" s="8" customFormat="1"/>
    <row r="174" s="8" customFormat="1"/>
    <row r="175" s="8" customFormat="1"/>
    <row r="176" s="8" customFormat="1"/>
    <row r="177" s="8" customFormat="1"/>
    <row r="178" s="8" customFormat="1"/>
    <row r="179" s="8" customFormat="1"/>
    <row r="180" s="8" customFormat="1"/>
    <row r="181" s="8" customFormat="1"/>
    <row r="182" s="8" customFormat="1"/>
    <row r="183" s="8" customFormat="1"/>
    <row r="184" s="8" customFormat="1"/>
    <row r="185" s="8" customFormat="1"/>
    <row r="186" s="8" customFormat="1"/>
    <row r="187" s="8" customFormat="1"/>
    <row r="188" s="8" customFormat="1"/>
    <row r="189" s="8" customFormat="1"/>
    <row r="190" s="8" customFormat="1"/>
    <row r="191" s="8" customFormat="1"/>
    <row r="192" s="8" customFormat="1"/>
    <row r="193" s="8" customFormat="1"/>
    <row r="194" s="8" customFormat="1"/>
    <row r="195" s="8" customFormat="1"/>
    <row r="196" s="8" customFormat="1"/>
    <row r="197" s="8" customFormat="1"/>
    <row r="198" s="8" customFormat="1"/>
    <row r="199" s="8" customFormat="1"/>
    <row r="200" s="8" customFormat="1"/>
    <row r="201" s="8" customFormat="1"/>
    <row r="202" s="8" customFormat="1"/>
    <row r="203" s="8" customFormat="1"/>
    <row r="204" s="8" customFormat="1"/>
    <row r="205" s="8" customFormat="1"/>
    <row r="206" s="8" customFormat="1"/>
    <row r="207" s="8" customFormat="1"/>
    <row r="208" s="8" customFormat="1"/>
    <row r="209" s="8" customFormat="1"/>
    <row r="210" s="8" customFormat="1"/>
    <row r="211" s="8" customFormat="1"/>
    <row r="212" s="8" customFormat="1"/>
    <row r="213" s="8" customFormat="1"/>
    <row r="214" s="8" customFormat="1"/>
    <row r="215" s="8" customFormat="1"/>
    <row r="216" s="8" customFormat="1"/>
    <row r="217" s="8" customFormat="1"/>
    <row r="218" s="8" customFormat="1"/>
    <row r="219" s="8" customFormat="1"/>
    <row r="220" s="8" customFormat="1"/>
    <row r="221" s="8" customFormat="1"/>
    <row r="222" s="8" customFormat="1"/>
    <row r="223" s="8" customFormat="1"/>
    <row r="224" s="8" customFormat="1"/>
    <row r="225" s="8" customFormat="1"/>
    <row r="226" s="8" customFormat="1"/>
    <row r="227" s="8" customFormat="1"/>
    <row r="228" s="8" customFormat="1"/>
    <row r="229" s="8" customFormat="1"/>
    <row r="230" s="8" customFormat="1"/>
    <row r="231" s="8" customFormat="1"/>
    <row r="232" s="8" customFormat="1"/>
    <row r="233" s="8" customFormat="1"/>
    <row r="234" s="8" customFormat="1"/>
    <row r="235" s="8" customFormat="1"/>
    <row r="236" s="8" customFormat="1"/>
    <row r="237" s="8" customFormat="1"/>
    <row r="238" s="8" customFormat="1"/>
    <row r="239" s="8" customFormat="1"/>
    <row r="240" s="8" customFormat="1"/>
    <row r="241" s="8" customFormat="1"/>
    <row r="242" s="8" customFormat="1"/>
    <row r="243" s="8" customFormat="1"/>
    <row r="244" s="8" customFormat="1"/>
    <row r="245" s="8" customFormat="1"/>
    <row r="246" s="8" customFormat="1"/>
    <row r="247" s="8" customFormat="1"/>
    <row r="248" s="8" customFormat="1"/>
    <row r="249" s="8" customFormat="1"/>
    <row r="250" s="8" customFormat="1"/>
    <row r="251" s="8" customFormat="1"/>
    <row r="252" s="8" customFormat="1"/>
    <row r="253" s="8" customFormat="1"/>
    <row r="254" s="8" customFormat="1"/>
    <row r="255" s="8" customFormat="1"/>
    <row r="256" s="8" customFormat="1"/>
    <row r="257" s="8" customFormat="1"/>
    <row r="258" s="8" customFormat="1"/>
    <row r="259" s="8" customFormat="1"/>
    <row r="260" s="8" customFormat="1"/>
    <row r="261" s="8" customFormat="1"/>
    <row r="262" s="8" customFormat="1"/>
    <row r="263" s="8" customFormat="1"/>
    <row r="264" s="8" customFormat="1"/>
    <row r="265" s="8" customFormat="1"/>
    <row r="266" s="8" customFormat="1"/>
    <row r="267" s="8" customFormat="1"/>
    <row r="268" s="8" customFormat="1"/>
    <row r="269" s="8" customFormat="1"/>
    <row r="270" s="8" customFormat="1"/>
    <row r="271" s="8" customFormat="1"/>
    <row r="272" s="8" customFormat="1"/>
    <row r="273" s="8" customFormat="1"/>
    <row r="274" s="8" customFormat="1"/>
    <row r="275" s="8" customFormat="1"/>
    <row r="276" s="8" customFormat="1"/>
    <row r="277" s="8" customFormat="1"/>
    <row r="278" s="8" customFormat="1"/>
    <row r="279" s="8" customFormat="1"/>
    <row r="280" s="8" customFormat="1"/>
    <row r="281" s="8" customFormat="1"/>
    <row r="282" s="8" customFormat="1"/>
    <row r="283" s="8" customFormat="1"/>
    <row r="284" s="8" customFormat="1"/>
    <row r="285" s="8" customFormat="1"/>
  </sheetData>
  <mergeCells count="60">
    <mergeCell ref="A51:C51"/>
    <mergeCell ref="C80:C81"/>
    <mergeCell ref="A65:C65"/>
    <mergeCell ref="A73:C73"/>
    <mergeCell ref="A61:C61"/>
    <mergeCell ref="A52:A56"/>
    <mergeCell ref="C58:C59"/>
    <mergeCell ref="C53:C56"/>
    <mergeCell ref="A84:C84"/>
    <mergeCell ref="A75:A78"/>
    <mergeCell ref="A85:A88"/>
    <mergeCell ref="A79:A81"/>
    <mergeCell ref="A82:C82"/>
    <mergeCell ref="C86:C88"/>
    <mergeCell ref="C76:C78"/>
    <mergeCell ref="A6:A9"/>
    <mergeCell ref="B6:B9"/>
    <mergeCell ref="A5:C5"/>
    <mergeCell ref="A1:J1"/>
    <mergeCell ref="A3:A4"/>
    <mergeCell ref="B3:B4"/>
    <mergeCell ref="C3:C4"/>
    <mergeCell ref="D3:F3"/>
    <mergeCell ref="G3:I3"/>
    <mergeCell ref="J3:J4"/>
    <mergeCell ref="A10:C10"/>
    <mergeCell ref="A68:C68"/>
    <mergeCell ref="A12:C12"/>
    <mergeCell ref="A94:C94"/>
    <mergeCell ref="A89:C89"/>
    <mergeCell ref="C98:C100"/>
    <mergeCell ref="A57:A60"/>
    <mergeCell ref="A63:A64"/>
    <mergeCell ref="A66:A67"/>
    <mergeCell ref="A90:A92"/>
    <mergeCell ref="A96:C96"/>
    <mergeCell ref="A101:C101"/>
    <mergeCell ref="A111:C111"/>
    <mergeCell ref="A108:C108"/>
    <mergeCell ref="A97:A100"/>
    <mergeCell ref="B103:B107"/>
    <mergeCell ref="A103:A107"/>
    <mergeCell ref="A23:A28"/>
    <mergeCell ref="C25:C28"/>
    <mergeCell ref="A29:C29"/>
    <mergeCell ref="A33:A38"/>
    <mergeCell ref="A31:C31"/>
    <mergeCell ref="A40:A42"/>
    <mergeCell ref="C41:C42"/>
    <mergeCell ref="B40:B41"/>
    <mergeCell ref="B90:B91"/>
    <mergeCell ref="B19:B20"/>
    <mergeCell ref="B14:B18"/>
    <mergeCell ref="A39:C39"/>
    <mergeCell ref="A43:C43"/>
    <mergeCell ref="A44:A50"/>
    <mergeCell ref="A14:A20"/>
    <mergeCell ref="B34:B35"/>
    <mergeCell ref="C23:C24"/>
    <mergeCell ref="A21:C21"/>
  </mergeCells>
  <phoneticPr fontId="47" type="noConversion"/>
  <pageMargins left="0.17" right="0.17" top="0.19" bottom="0.17" header="0.17" footer="0.17"/>
  <pageSetup paperSize="9" scale="51" fitToHeight="20" orientation="landscape" r:id="rId1"/>
  <headerFooter alignWithMargins="0"/>
  <rowBreaks count="3" manualBreakCount="3">
    <brk id="39" max="10" man="1"/>
    <brk id="48" max="10" man="1"/>
    <brk id="59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ВМ</dc:creator>
  <cp:lastModifiedBy>user</cp:lastModifiedBy>
  <cp:lastPrinted>2018-09-06T07:36:49Z</cp:lastPrinted>
  <dcterms:created xsi:type="dcterms:W3CDTF">2001-11-23T10:13:52Z</dcterms:created>
  <dcterms:modified xsi:type="dcterms:W3CDTF">2022-06-07T08:56:34Z</dcterms:modified>
</cp:coreProperties>
</file>