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5576" windowHeight="9732"/>
  </bookViews>
  <sheets>
    <sheet name="Лист1 (2)" sheetId="4" r:id="rId1"/>
  </sheets>
  <definedNames>
    <definedName name="_xlnm._FilterDatabase" localSheetId="0" hidden="1">'Лист1 (2)'!$A$3:$K$4</definedName>
    <definedName name="_xlnm.Print_Titles" localSheetId="0">'Лист1 (2)'!$3:$4</definedName>
    <definedName name="_xlnm.Print_Area" localSheetId="0">'Лист1 (2)'!$A$1:$K$108</definedName>
  </definedNames>
  <calcPr calcId="124519" fullCalcOnLoad="1"/>
</workbook>
</file>

<file path=xl/calcChain.xml><?xml version="1.0" encoding="utf-8"?>
<calcChain xmlns="http://schemas.openxmlformats.org/spreadsheetml/2006/main">
  <c r="H101" i="4"/>
  <c r="I101"/>
  <c r="I96" s="1"/>
  <c r="J96" s="1"/>
  <c r="K96" s="1"/>
  <c r="E72"/>
  <c r="E70" s="1"/>
  <c r="G70" s="1"/>
  <c r="G74"/>
  <c r="J74"/>
  <c r="K74" s="1"/>
  <c r="J73"/>
  <c r="G73"/>
  <c r="K73" s="1"/>
  <c r="H72"/>
  <c r="H70" s="1"/>
  <c r="J70" s="1"/>
  <c r="K70" s="1"/>
  <c r="I70"/>
  <c r="F70"/>
  <c r="H40"/>
  <c r="H36"/>
  <c r="H33" s="1"/>
  <c r="J33" s="1"/>
  <c r="K33" s="1"/>
  <c r="F20"/>
  <c r="F31"/>
  <c r="F19"/>
  <c r="E31"/>
  <c r="H32"/>
  <c r="H30"/>
  <c r="H28"/>
  <c r="H27"/>
  <c r="H25"/>
  <c r="H24"/>
  <c r="H23"/>
  <c r="H21"/>
  <c r="E21"/>
  <c r="E20"/>
  <c r="H12"/>
  <c r="H8"/>
  <c r="J65"/>
  <c r="H98"/>
  <c r="H94"/>
  <c r="H77"/>
  <c r="I77"/>
  <c r="J77" s="1"/>
  <c r="E78"/>
  <c r="G78" s="1"/>
  <c r="K78" s="1"/>
  <c r="F77"/>
  <c r="J80"/>
  <c r="K80" s="1"/>
  <c r="G80"/>
  <c r="I69"/>
  <c r="I62"/>
  <c r="I60"/>
  <c r="I59" s="1"/>
  <c r="J59" s="1"/>
  <c r="H60"/>
  <c r="J60" s="1"/>
  <c r="H52"/>
  <c r="H49"/>
  <c r="E38"/>
  <c r="E36"/>
  <c r="H31"/>
  <c r="H26"/>
  <c r="H20"/>
  <c r="H19" s="1"/>
  <c r="J19" s="1"/>
  <c r="H18"/>
  <c r="H17"/>
  <c r="H13"/>
  <c r="H6"/>
  <c r="H5" s="1"/>
  <c r="H107"/>
  <c r="H22"/>
  <c r="H86"/>
  <c r="H82"/>
  <c r="H81" s="1"/>
  <c r="J81" s="1"/>
  <c r="G65"/>
  <c r="K65"/>
  <c r="H50"/>
  <c r="H29"/>
  <c r="I67"/>
  <c r="I91"/>
  <c r="J91"/>
  <c r="I61"/>
  <c r="I5"/>
  <c r="I9"/>
  <c r="I15"/>
  <c r="I19"/>
  <c r="I33"/>
  <c r="I39"/>
  <c r="I43"/>
  <c r="I45"/>
  <c r="I47"/>
  <c r="I55"/>
  <c r="J55" s="1"/>
  <c r="I57"/>
  <c r="J57" s="1"/>
  <c r="I63"/>
  <c r="I75"/>
  <c r="I81"/>
  <c r="I85"/>
  <c r="I93"/>
  <c r="J93" s="1"/>
  <c r="I102"/>
  <c r="I104"/>
  <c r="J104" s="1"/>
  <c r="K104" s="1"/>
  <c r="I106"/>
  <c r="I89"/>
  <c r="H59"/>
  <c r="H96"/>
  <c r="H9"/>
  <c r="H15"/>
  <c r="H39"/>
  <c r="H47"/>
  <c r="J47" s="1"/>
  <c r="H67"/>
  <c r="H93"/>
  <c r="H85"/>
  <c r="J85" s="1"/>
  <c r="H106"/>
  <c r="J106" s="1"/>
  <c r="K106" s="1"/>
  <c r="H43"/>
  <c r="J43" s="1"/>
  <c r="K43" s="1"/>
  <c r="H45"/>
  <c r="H55"/>
  <c r="H57"/>
  <c r="H61"/>
  <c r="H63"/>
  <c r="H75"/>
  <c r="H102"/>
  <c r="H104"/>
  <c r="H89"/>
  <c r="E30"/>
  <c r="G30" s="1"/>
  <c r="E28"/>
  <c r="G28" s="1"/>
  <c r="E27"/>
  <c r="E25"/>
  <c r="E24"/>
  <c r="E32"/>
  <c r="G32" s="1"/>
  <c r="E23"/>
  <c r="J76"/>
  <c r="K76" s="1"/>
  <c r="G76"/>
  <c r="E26"/>
  <c r="G26" s="1"/>
  <c r="E33"/>
  <c r="G33" s="1"/>
  <c r="E5"/>
  <c r="E10"/>
  <c r="E13"/>
  <c r="E9"/>
  <c r="E16"/>
  <c r="E15" s="1"/>
  <c r="G15" s="1"/>
  <c r="E40"/>
  <c r="G40" s="1"/>
  <c r="E43"/>
  <c r="E45"/>
  <c r="E47"/>
  <c r="G47" s="1"/>
  <c r="E55"/>
  <c r="G55" s="1"/>
  <c r="E57"/>
  <c r="G57" s="1"/>
  <c r="E60"/>
  <c r="E59" s="1"/>
  <c r="E61"/>
  <c r="E63"/>
  <c r="E67"/>
  <c r="G67" s="1"/>
  <c r="E75"/>
  <c r="E82"/>
  <c r="E81" s="1"/>
  <c r="G81" s="1"/>
  <c r="E85"/>
  <c r="G85" s="1"/>
  <c r="E91"/>
  <c r="G91" s="1"/>
  <c r="K91" s="1"/>
  <c r="E93"/>
  <c r="G93" s="1"/>
  <c r="E96"/>
  <c r="E102"/>
  <c r="E104"/>
  <c r="E106"/>
  <c r="G106" s="1"/>
  <c r="E89"/>
  <c r="G89" s="1"/>
  <c r="K89" s="1"/>
  <c r="F5"/>
  <c r="F9"/>
  <c r="F15"/>
  <c r="F33"/>
  <c r="F39"/>
  <c r="F43"/>
  <c r="G43" s="1"/>
  <c r="F45"/>
  <c r="F47"/>
  <c r="F55"/>
  <c r="F57"/>
  <c r="F60"/>
  <c r="F59" s="1"/>
  <c r="F61"/>
  <c r="F63"/>
  <c r="F67"/>
  <c r="F75"/>
  <c r="F81"/>
  <c r="F85"/>
  <c r="F91"/>
  <c r="F93"/>
  <c r="F96"/>
  <c r="F102"/>
  <c r="G102" s="1"/>
  <c r="F104"/>
  <c r="G104" s="1"/>
  <c r="F106"/>
  <c r="F89"/>
  <c r="G5"/>
  <c r="J9"/>
  <c r="K9" s="1"/>
  <c r="G9"/>
  <c r="J15"/>
  <c r="K15" s="1"/>
  <c r="G96"/>
  <c r="J75"/>
  <c r="K75" s="1"/>
  <c r="G75"/>
  <c r="J39"/>
  <c r="J67"/>
  <c r="J61"/>
  <c r="K61" s="1"/>
  <c r="G61"/>
  <c r="J45"/>
  <c r="K45" s="1"/>
  <c r="G45"/>
  <c r="J63"/>
  <c r="K63" s="1"/>
  <c r="G63"/>
  <c r="J89"/>
  <c r="J102"/>
  <c r="J79"/>
  <c r="K79" s="1"/>
  <c r="G79"/>
  <c r="J78"/>
  <c r="J58"/>
  <c r="K58" s="1"/>
  <c r="G58"/>
  <c r="J66"/>
  <c r="G66"/>
  <c r="K66"/>
  <c r="J64"/>
  <c r="K64" s="1"/>
  <c r="G64"/>
  <c r="G62"/>
  <c r="G69"/>
  <c r="G68"/>
  <c r="G71"/>
  <c r="J84"/>
  <c r="G84"/>
  <c r="K84"/>
  <c r="J83"/>
  <c r="K83" s="1"/>
  <c r="G83"/>
  <c r="G82"/>
  <c r="J86"/>
  <c r="K86" s="1"/>
  <c r="G86"/>
  <c r="G87"/>
  <c r="G88"/>
  <c r="G90"/>
  <c r="J90"/>
  <c r="J92"/>
  <c r="K92" s="1"/>
  <c r="G92"/>
  <c r="J99"/>
  <c r="K99" s="1"/>
  <c r="G99"/>
  <c r="J105"/>
  <c r="K105" s="1"/>
  <c r="G105"/>
  <c r="G107"/>
  <c r="J107"/>
  <c r="K107" s="1"/>
  <c r="J54"/>
  <c r="K54" s="1"/>
  <c r="G54"/>
  <c r="J53"/>
  <c r="K53" s="1"/>
  <c r="G53"/>
  <c r="J52"/>
  <c r="K52" s="1"/>
  <c r="G52"/>
  <c r="J51"/>
  <c r="K51" s="1"/>
  <c r="G51"/>
  <c r="J50"/>
  <c r="K50" s="1"/>
  <c r="G50"/>
  <c r="J49"/>
  <c r="K49" s="1"/>
  <c r="G49"/>
  <c r="J48"/>
  <c r="K48" s="1"/>
  <c r="G48"/>
  <c r="J46"/>
  <c r="K46" s="1"/>
  <c r="G46"/>
  <c r="J44"/>
  <c r="K44" s="1"/>
  <c r="G44"/>
  <c r="J42"/>
  <c r="K42" s="1"/>
  <c r="G42"/>
  <c r="J41"/>
  <c r="K41" s="1"/>
  <c r="G41"/>
  <c r="J40"/>
  <c r="K40" s="1"/>
  <c r="J38"/>
  <c r="K38" s="1"/>
  <c r="G38"/>
  <c r="J37"/>
  <c r="K37" s="1"/>
  <c r="G37"/>
  <c r="J36"/>
  <c r="K36" s="1"/>
  <c r="G36"/>
  <c r="J35"/>
  <c r="K35" s="1"/>
  <c r="G35"/>
  <c r="J34"/>
  <c r="K34" s="1"/>
  <c r="G34"/>
  <c r="J32"/>
  <c r="K32" s="1"/>
  <c r="J31"/>
  <c r="K31" s="1"/>
  <c r="G31"/>
  <c r="J30"/>
  <c r="K30" s="1"/>
  <c r="J29"/>
  <c r="K29" s="1"/>
  <c r="G29"/>
  <c r="J28"/>
  <c r="J27"/>
  <c r="K27" s="1"/>
  <c r="G27"/>
  <c r="J26"/>
  <c r="K26" s="1"/>
  <c r="J25"/>
  <c r="K25" s="1"/>
  <c r="G25"/>
  <c r="J24"/>
  <c r="K24" s="1"/>
  <c r="G24"/>
  <c r="J23"/>
  <c r="K23" s="1"/>
  <c r="G23"/>
  <c r="J22"/>
  <c r="K22" s="1"/>
  <c r="G22"/>
  <c r="J21"/>
  <c r="K21" s="1"/>
  <c r="G21"/>
  <c r="J20"/>
  <c r="K20" s="1"/>
  <c r="G20"/>
  <c r="J18"/>
  <c r="K18" s="1"/>
  <c r="G18"/>
  <c r="J17"/>
  <c r="K17" s="1"/>
  <c r="G17"/>
  <c r="J16"/>
  <c r="K16" s="1"/>
  <c r="G16"/>
  <c r="J14"/>
  <c r="K14" s="1"/>
  <c r="G14"/>
  <c r="J13"/>
  <c r="K13" s="1"/>
  <c r="G13"/>
  <c r="J12"/>
  <c r="K12" s="1"/>
  <c r="G12"/>
  <c r="J11"/>
  <c r="K11" s="1"/>
  <c r="G11"/>
  <c r="J10"/>
  <c r="K10" s="1"/>
  <c r="G10"/>
  <c r="J8"/>
  <c r="K8" s="1"/>
  <c r="G8"/>
  <c r="J7"/>
  <c r="K7" s="1"/>
  <c r="G7"/>
  <c r="J6"/>
  <c r="K6" s="1"/>
  <c r="G6"/>
  <c r="G95"/>
  <c r="J95"/>
  <c r="K95" s="1"/>
  <c r="J94"/>
  <c r="K94" s="1"/>
  <c r="G94"/>
  <c r="J71"/>
  <c r="K71" s="1"/>
  <c r="J62"/>
  <c r="K62"/>
  <c r="J72"/>
  <c r="J103"/>
  <c r="G103"/>
  <c r="K103"/>
  <c r="G101"/>
  <c r="G100"/>
  <c r="G98"/>
  <c r="J100"/>
  <c r="K100" s="1"/>
  <c r="J101"/>
  <c r="K101" s="1"/>
  <c r="J98"/>
  <c r="K98" s="1"/>
  <c r="J97"/>
  <c r="G97"/>
  <c r="K97"/>
  <c r="K90"/>
  <c r="J87"/>
  <c r="K87" s="1"/>
  <c r="J88"/>
  <c r="K88"/>
  <c r="G56"/>
  <c r="J69"/>
  <c r="K69" s="1"/>
  <c r="J68"/>
  <c r="K68" s="1"/>
  <c r="J56"/>
  <c r="K56" s="1"/>
  <c r="H108" l="1"/>
  <c r="J5"/>
  <c r="K5" s="1"/>
  <c r="K102"/>
  <c r="G59"/>
  <c r="K59" s="1"/>
  <c r="K93"/>
  <c r="K55"/>
  <c r="K81"/>
  <c r="K67"/>
  <c r="I108"/>
  <c r="K47"/>
  <c r="K19"/>
  <c r="K28"/>
  <c r="F108"/>
  <c r="K85"/>
  <c r="K57"/>
  <c r="E77"/>
  <c r="G77" s="1"/>
  <c r="K77" s="1"/>
  <c r="G72"/>
  <c r="K72" s="1"/>
  <c r="G60"/>
  <c r="K60" s="1"/>
  <c r="E39"/>
  <c r="G39" s="1"/>
  <c r="K39" s="1"/>
  <c r="J82"/>
  <c r="K82" s="1"/>
  <c r="E19"/>
  <c r="G19" s="1"/>
  <c r="E108" l="1"/>
  <c r="G108" s="1"/>
  <c r="J108"/>
  <c r="K108" l="1"/>
</calcChain>
</file>

<file path=xl/sharedStrings.xml><?xml version="1.0" encoding="utf-8"?>
<sst xmlns="http://schemas.openxmlformats.org/spreadsheetml/2006/main" count="236" uniqueCount="184">
  <si>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</si>
  <si>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</si>
  <si>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</si>
  <si>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</si>
  <si>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</si>
  <si>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</si>
  <si>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</si>
  <si>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</si>
  <si>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</si>
  <si>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Відсоток виконання</t>
  </si>
  <si>
    <t>Департамент охорони здоров'я</t>
  </si>
  <si>
    <t>тис. грн.</t>
  </si>
  <si>
    <t>Служба у справах дітей</t>
  </si>
  <si>
    <t>Разом по програмі</t>
  </si>
  <si>
    <t>Обласна рада</t>
  </si>
  <si>
    <t>Департамент освіти і науки</t>
  </si>
  <si>
    <t xml:space="preserve"> </t>
  </si>
  <si>
    <t>Управління капітального будівництва</t>
  </si>
  <si>
    <t>Облдержадміністарція</t>
  </si>
  <si>
    <t>Департамент з питань культури національностей та релігії</t>
  </si>
  <si>
    <t>Департамент архітектури та розвитку містобудування</t>
  </si>
  <si>
    <t>Департамент дорожнього господарства</t>
  </si>
  <si>
    <t>Департамент агропромислового розвитку</t>
  </si>
  <si>
    <t>Департамент міжнародної технічної допомоги та міжнародного співробітництва</t>
  </si>
  <si>
    <t>Управління туризму та курортів</t>
  </si>
  <si>
    <t>Департамент економічної політики</t>
  </si>
  <si>
    <t>Департамент екології та природних ресурсів</t>
  </si>
  <si>
    <t>Департамент з питань цивільного захисту</t>
  </si>
  <si>
    <t>Департамент фінансів</t>
  </si>
  <si>
    <t>Код програмної класифікації видатків та кредитування місцевих бюджетів</t>
  </si>
  <si>
    <t>Фінансова підттримка кіноматографії</t>
  </si>
  <si>
    <t>Фінансова підтримка засобів масової інформації</t>
  </si>
  <si>
    <t>Інші заходи у сфері засобів масової інформації</t>
  </si>
  <si>
    <t>Надання фінансової підтримки громадським організаціям ветеранів і осіб з  інвалідністю, діяльність яких має соціальну спрямованість</t>
  </si>
  <si>
    <t>Інші заходи у сфері соціального захисту і соціального забезпечення</t>
  </si>
  <si>
    <t>Інші субвенції з місцевого бюджету</t>
  </si>
  <si>
    <t>Підтримка спорту вищих досягнень та організацій, які здійснюють фізкультурно-спортивну діяльність в регіоні</t>
  </si>
  <si>
    <t>Проектування, реставрація та охорона пам'яток архітектури</t>
  </si>
  <si>
    <t>Розроблення схем планування та забудови територій (містобудівної документації)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</si>
  <si>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</si>
  <si>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</si>
  <si>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</si>
  <si>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0813035</t>
  </si>
  <si>
    <t>0813192</t>
  </si>
  <si>
    <t>0819770</t>
  </si>
  <si>
    <t>0813242</t>
  </si>
  <si>
    <t>1014082</t>
  </si>
  <si>
    <t>1115052</t>
  </si>
  <si>
    <t>1115062</t>
  </si>
  <si>
    <t>1317640</t>
  </si>
  <si>
    <t>2517630</t>
  </si>
  <si>
    <t>2619770</t>
  </si>
  <si>
    <t>1917461</t>
  </si>
  <si>
    <t>1917463</t>
  </si>
  <si>
    <t>Інші заходи в галузі культури і мистецтва</t>
  </si>
  <si>
    <t>1919730</t>
  </si>
  <si>
    <t>1917470</t>
  </si>
  <si>
    <t xml:space="preserve">                                                                                                         </t>
  </si>
  <si>
    <t>Інша діяльність у сфері державного управління</t>
  </si>
  <si>
    <t>0110180</t>
  </si>
  <si>
    <t>Інші заходи, пов´язані з економічною діяльністю</t>
  </si>
  <si>
    <t>Інші програми та заходи у сфері освіти</t>
  </si>
  <si>
    <t>0712152</t>
  </si>
  <si>
    <t>0813033</t>
  </si>
  <si>
    <t>Компенсаційні виплати за пільговий проїзд окремих категорій громадян на залізничному транспорті</t>
  </si>
  <si>
    <t xml:space="preserve">Департамент соціального захисту населення </t>
  </si>
  <si>
    <t xml:space="preserve">Інші субвенції з місцевого бюджету </t>
  </si>
  <si>
    <t>Будівництво інших об'єктів комуніальної власності</t>
  </si>
  <si>
    <t>0919770</t>
  </si>
  <si>
    <t>Утримання та фінансова підтримка спортивних споруд</t>
  </si>
  <si>
    <t>1115041</t>
  </si>
  <si>
    <t>Заходи з енергозбереження</t>
  </si>
  <si>
    <t>1617350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</si>
  <si>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</si>
  <si>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</si>
  <si>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Утримання та розвиток автомобільних доріг та дорожньої інфраструктури за рахунок коштів місцевого бюджету</t>
  </si>
  <si>
    <t>Реалізація програм і заходів в галузі зовнішньоекономічної діяльності</t>
  </si>
  <si>
    <t>Реалізація програм і заходів в галузі туризму та курортів</t>
  </si>
  <si>
    <t>Обласна цільова програма розвитку лісового господарства Львівської області на 2017-2021 роки</t>
  </si>
  <si>
    <t>Реалізація програм у галузі лісового господарства і мисливства</t>
  </si>
  <si>
    <t>2818320</t>
  </si>
  <si>
    <t>2918230</t>
  </si>
  <si>
    <t>Інші заходи громадського порядку та безпеки</t>
  </si>
  <si>
    <t>Утримання та розвиток автомобільних доріг та дорожньої інфраструктури за рахунок трансфертів з інших місцевих бюджетів</t>
  </si>
  <si>
    <t>2519770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</si>
  <si>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</si>
  <si>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Програма відновлення, збереження національної пам"яті та протокольних заходів на 2021-2025 роки                                                                       </t>
  </si>
  <si>
    <t>0210180</t>
  </si>
  <si>
    <t>Департамент комунікацій та внутрішньої політики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</si>
  <si>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</si>
  <si>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0118420</t>
  </si>
  <si>
    <t>2318420</t>
  </si>
  <si>
    <t>2317693</t>
  </si>
  <si>
    <t>Інші заходи, пов'язані з економічною діяльністю</t>
  </si>
  <si>
    <t>Програма розвитку освіти Львівської області на 2021-2025 роки</t>
  </si>
  <si>
    <t>0611142</t>
  </si>
  <si>
    <t>0611022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</si>
  <si>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</si>
  <si>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0611025</t>
  </si>
  <si>
    <t>Надання загальної середньої освіти навчально-реабілітаційними центрами для дітей з особлиими освітніми потребами, зумовленими складними порушеннями розвитку</t>
  </si>
  <si>
    <t>Комплексна програма підтримки галузі охорони здоров'я Львівської області на 2021-2025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</si>
  <si>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</si>
  <si>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</si>
  <si>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</si>
  <si>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</si>
  <si>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</si>
  <si>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</si>
  <si>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0712040</t>
  </si>
  <si>
    <t>Санаторно-курортна допомога населенню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</si>
  <si>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</si>
  <si>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</si>
  <si>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</si>
  <si>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</si>
  <si>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</si>
  <si>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</si>
  <si>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</si>
  <si>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</si>
  <si>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</si>
  <si>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Проведення належної медико-соціальної експертизи (МСЕК)</t>
  </si>
  <si>
    <t>0712144</t>
  </si>
  <si>
    <t>Централізовані заходи з лікування хворих на цукровий та нецукровий діабет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</si>
  <si>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</si>
  <si>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</si>
  <si>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</si>
  <si>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0719430</t>
  </si>
  <si>
    <t>Субвенція з МБ на здійснення підтримки окремих закладів та заходів у системі охорони здоров'я за рахунок відповідної субвенції з державного бюджету</t>
  </si>
  <si>
    <t>Стан фінансування обласних програм у 2021 році</t>
  </si>
  <si>
    <t>Компенсаційні виплати за пільговий проїзд автомобільним транспортом окремим категоріям громадян</t>
  </si>
  <si>
    <t>Комплексна програма соціальної підтримки окремих категорій громадян Львівської області на 2021-2025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</si>
  <si>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2021-2025 роки</t>
  </si>
  <si>
    <t>Комплексна програма розвитку культури Львівщини на 2021-2025 роки</t>
  </si>
  <si>
    <t>Комплексна програма розвитку фізичної культури та спорту Львівщини на 2021-2025 роки</t>
  </si>
  <si>
    <t>1115011</t>
  </si>
  <si>
    <t>Проведення навчально-тренувальних зборів і змагань з олімпійських видів спорту</t>
  </si>
  <si>
    <t>Управління молоді та спорту</t>
  </si>
  <si>
    <t>1115012</t>
  </si>
  <si>
    <t>Проведення навчально-тренувальних зборів і змагань з неолімпійських видів спорту</t>
  </si>
  <si>
    <t>1115021</t>
  </si>
  <si>
    <t>Утримання центрів фізичної культури і спорту осіб з інвалідністю і реабілітаційних шкіл</t>
  </si>
  <si>
    <t>Фінансова підтримка регіональних осередків всеукраїнських організацій фізкультурно-спортивної спрямованості у  здійсненні фізкультурно-масових заходів серед населення регіону</t>
  </si>
  <si>
    <t>1115022</t>
  </si>
  <si>
    <t>Проведення навчально-тренувальних зборів і змагань та заходів з інвалідного спорту</t>
  </si>
  <si>
    <t>Програма підтримки розвитку Пласту у Львівській області на 2021-2025 роки</t>
  </si>
  <si>
    <t>1113133</t>
  </si>
  <si>
    <t>Інші заходи та заклади молодіжної політики</t>
  </si>
  <si>
    <t>Програма покращення якості надання публічних послуг органами виконавчої влади на 2021 рік</t>
  </si>
  <si>
    <t>Комплексна програма регіонального розвитку Львівщини на 2021-2025 роки</t>
  </si>
  <si>
    <t>Комплексна програма "Безпечна Львівщина" на 2021-2025 роки</t>
  </si>
  <si>
    <t>Заходи із запобігання та ліквідації надзвичайних ситуацій та наслідків стихійного лиха</t>
  </si>
  <si>
    <t>2919770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</si>
  <si>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"/>
        <family val="1"/>
        <charset val="204"/>
      </rPr>
      <t>язані з економічною діяльністю</t>
    </r>
  </si>
  <si>
    <t>Програма охорони навколишнього природного середовища на 2021-2025 роки</t>
  </si>
  <si>
    <t>Програма  підвищення конкурентоспроможності Львівської області 2021-2025 роки</t>
  </si>
  <si>
    <t>Програма розвитку туризму та курортів у Львівській області на 2021-2025 роки</t>
  </si>
  <si>
    <t>2617361</t>
  </si>
  <si>
    <t xml:space="preserve">Співфінансування інвестиційних проектів, що реалізуються за рахунок коштів державного фонду регіонального розвитку </t>
  </si>
  <si>
    <t>Регіональна програма з міжнародного і траскордонного співробітництва, європейської інтеграції на 2021-2025 роки</t>
  </si>
  <si>
    <t>2519800</t>
  </si>
  <si>
    <t>Субвенція з місцевого бюджету державному бюджету</t>
  </si>
  <si>
    <t>Обласна програма "Молодь Львівщини" на 2021-2025 роки</t>
  </si>
  <si>
    <t>Здійснення заходів та реалізація проєктів на виконання Державної цільової соціальної програми "Молодь України"</t>
  </si>
  <si>
    <t>Програма розвитку мережі й утримання автомобільних доріг, організації та безпеки дорожнього руху на 2021-2025 роки</t>
  </si>
  <si>
    <t>Комплексна програма надання житлових кредитів окремим категоріям громадян у Львівської області на 2021-2025 роки</t>
  </si>
  <si>
    <t>Охорона, збереження і популяризація історико-культурної спадщини Львівській області на 2021-2025 роки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</si>
  <si>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2021-2025 роки </t>
  </si>
  <si>
    <t>Департамент паливно-енергетичного комплексу та енергозбереження</t>
  </si>
  <si>
    <t>Регіональна програма розвитку містобудівного кадастру та просторового планування на 2021-2025 роки</t>
  </si>
  <si>
    <t>1617693</t>
  </si>
  <si>
    <r>
      <t>Інші заходи, пов</t>
    </r>
    <r>
      <rPr>
        <sz val="14"/>
        <color indexed="8"/>
        <rFont val="Arial"/>
        <family val="2"/>
        <charset val="204"/>
      </rPr>
      <t>´</t>
    </r>
    <r>
      <rPr>
        <sz val="14"/>
        <color indexed="8"/>
        <rFont val="Times New Roman Cyr"/>
        <family val="1"/>
        <charset val="204"/>
      </rPr>
      <t>язані з економічною діяльністю</t>
    </r>
  </si>
  <si>
    <t>Програма виконання судових рішень та виконавчих документів на 2020-2022 роки</t>
  </si>
  <si>
    <t>0717693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</si>
  <si>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 Cyr"/>
        <family val="1"/>
        <charset val="204"/>
      </rPr>
      <t>язані з економічною діяльністю</t>
    </r>
  </si>
  <si>
    <t>Комплексна програма підтримки та розвитку сільського господарства у Львівській області на 2021-2025 роки</t>
  </si>
  <si>
    <t>Реалізація програм в галузі сільського господарства</t>
  </si>
  <si>
    <t>Програма сприяння інноваційному та науково-технологічному розвитку у Львівськй області на 2021-2025 роки</t>
  </si>
  <si>
    <t>2717693</t>
  </si>
  <si>
    <t>Комплексна програма соціальної підтримки у Львіській області учасників АТО (ООС) та їхніх родин, бійців добровольців АТО, а також родин Героїв Небесної Сотні на 2021-2025 роки</t>
  </si>
  <si>
    <t>1113131</t>
  </si>
  <si>
    <t>2418861</t>
  </si>
  <si>
    <t>Надання бюджетних позичок суб'єктам господарювання</t>
  </si>
  <si>
    <t>Станом на 07.05.2021</t>
  </si>
  <si>
    <r>
      <t xml:space="preserve"> 2021 рік </t>
    </r>
    <r>
      <rPr>
        <sz val="14"/>
        <rFont val="Times New Roman"/>
        <family val="1"/>
        <charset val="204"/>
      </rPr>
      <t>(станом на 07.05.2021)</t>
    </r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</si>
  <si>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</si>
  <si>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Інша діяльність у сфері дорожнього господарства</t>
  </si>
</sst>
</file>

<file path=xl/styles.xml><?xml version="1.0" encoding="utf-8"?>
<styleSheet xmlns="http://schemas.openxmlformats.org/spreadsheetml/2006/main">
  <numFmts count="15">
    <numFmt numFmtId="180" formatCode="#,##0\ &quot;z?&quot;;[Red]\-#,##0\ &quot;z?&quot;"/>
    <numFmt numFmtId="181" formatCode="#,##0.00\ &quot;z?&quot;;[Red]\-#,##0.00\ &quot;z?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-* #,##0\ &quot;р.&quot;_-;\-* #,##0\ &quot;р.&quot;_-;_-* &quot;-&quot;\ &quot;р.&quot;_-;_-@_-"/>
    <numFmt numFmtId="185" formatCode="_-* #,##0.00\ &quot;р.&quot;_-;\-* #,##0.00\ &quot;р.&quot;_-;_-* &quot;-&quot;??\ &quot;р.&quot;_-;_-@_-"/>
    <numFmt numFmtId="186" formatCode="_-* #,##0\ _z_?_-;\-* #,##0\ _z_?_-;_-* &quot;-&quot;\ _z_?_-;_-@_-"/>
    <numFmt numFmtId="187" formatCode="_-* #,##0.00\ _z_?_-;\-* #,##0.00\ _z_?_-;_-* &quot;-&quot;??\ _z_?_-;_-@_-"/>
    <numFmt numFmtId="188" formatCode="#,##0.\-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-* #,##0.00\ &quot;грн.&quot;_-;\-* #,##0.00\ &quot;грн.&quot;_-;_-* &quot;-&quot;??\ &quot;грн.&quot;_-;_-@_-"/>
    <numFmt numFmtId="193" formatCode="_-* #,##0.00\ _г_р_н_._-;\-* #,##0.00\ _г_р_н_._-;_-* &quot;-&quot;??\ _г_р_н_._-;_-@_-"/>
    <numFmt numFmtId="195" formatCode="#,##0\ &quot;грн.&quot;;\-#,##0\ &quot;грн.&quot;"/>
    <numFmt numFmtId="196" formatCode="#,##0.0"/>
  </numFmts>
  <fonts count="48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charset val="204"/>
    </font>
    <font>
      <sz val="1"/>
      <color indexed="8"/>
      <name val="Courier"/>
    </font>
    <font>
      <sz val="10"/>
      <name val="Helv"/>
      <charset val="204"/>
    </font>
    <font>
      <sz val="1"/>
      <color indexed="8"/>
      <name val="Courier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i/>
      <sz val="14"/>
      <name val="Times New Roman Cyr"/>
      <charset val="204"/>
    </font>
    <font>
      <sz val="14"/>
      <name val="Arial"/>
      <family val="2"/>
      <charset val="204"/>
    </font>
    <font>
      <sz val="14"/>
      <color indexed="8"/>
      <name val="Times New Roman Cyr"/>
      <family val="1"/>
      <charset val="204"/>
    </font>
    <font>
      <sz val="14"/>
      <color indexed="8"/>
      <name val="Arial"/>
      <family val="2"/>
      <charset val="204"/>
    </font>
    <font>
      <sz val="14"/>
      <color indexed="63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16">
    <xf numFmtId="0" fontId="0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2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6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6" fontId="12" fillId="0" borderId="0"/>
    <xf numFmtId="186" fontId="11" fillId="0" borderId="0" applyFont="0" applyFill="0" applyBorder="0" applyAlignment="0" applyProtection="0"/>
    <xf numFmtId="187" fontId="11" fillId="0" borderId="0" applyFont="0" applyFill="0" applyBorder="0" applyAlignment="0" applyProtection="0"/>
    <xf numFmtId="188" fontId="15" fillId="16" borderId="0"/>
    <xf numFmtId="0" fontId="16" fillId="17" borderId="0"/>
    <xf numFmtId="188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89" fontId="11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18" borderId="3" applyNumberFormat="0" applyAlignment="0" applyProtection="0"/>
    <xf numFmtId="0" fontId="22" fillId="18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91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23" borderId="9" applyNumberFormat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9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38" fillId="0" borderId="0" applyFont="0" applyFill="0" applyBorder="0" applyAlignment="0" applyProtection="0"/>
    <xf numFmtId="193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</cellStyleXfs>
  <cellXfs count="53">
    <xf numFmtId="0" fontId="0" fillId="0" borderId="0" xfId="0"/>
    <xf numFmtId="0" fontId="17" fillId="0" borderId="1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196" fontId="16" fillId="0" borderId="11" xfId="0" applyNumberFormat="1" applyFont="1" applyFill="1" applyBorder="1" applyAlignment="1">
      <alignment horizontal="center" vertical="center" wrapText="1"/>
    </xf>
    <xf numFmtId="196" fontId="17" fillId="0" borderId="11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7" fillId="0" borderId="12" xfId="0" applyFont="1" applyFill="1" applyBorder="1" applyAlignment="1">
      <alignment horizontal="center" vertical="center" wrapText="1"/>
    </xf>
    <xf numFmtId="196" fontId="41" fillId="0" borderId="11" xfId="0" applyNumberFormat="1" applyFont="1" applyFill="1" applyBorder="1" applyAlignment="1">
      <alignment horizontal="center" vertical="center" wrapText="1"/>
    </xf>
    <xf numFmtId="0" fontId="36" fillId="26" borderId="0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vertical="center" wrapText="1"/>
    </xf>
    <xf numFmtId="196" fontId="39" fillId="0" borderId="11" xfId="0" applyNumberFormat="1" applyFont="1" applyFill="1" applyBorder="1" applyAlignment="1">
      <alignment horizontal="center" vertical="center" wrapText="1"/>
    </xf>
    <xf numFmtId="49" fontId="42" fillId="0" borderId="11" xfId="0" applyNumberFormat="1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49" fontId="42" fillId="0" borderId="13" xfId="0" applyNumberFormat="1" applyFont="1" applyFill="1" applyBorder="1" applyAlignment="1">
      <alignment horizontal="center" vertical="center" wrapText="1"/>
    </xf>
    <xf numFmtId="1" fontId="17" fillId="0" borderId="13" xfId="0" applyNumberFormat="1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vertical="center" wrapText="1"/>
    </xf>
    <xf numFmtId="0" fontId="36" fillId="0" borderId="11" xfId="0" applyFont="1" applyFill="1" applyBorder="1" applyAlignment="1">
      <alignment horizontal="center" vertical="center" wrapText="1"/>
    </xf>
    <xf numFmtId="196" fontId="16" fillId="0" borderId="14" xfId="0" applyNumberFormat="1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4" fontId="43" fillId="0" borderId="11" xfId="0" applyNumberFormat="1" applyFont="1" applyFill="1" applyBorder="1" applyAlignment="1">
      <alignment horizontal="center" vertical="center" wrapText="1"/>
    </xf>
    <xf numFmtId="4" fontId="43" fillId="0" borderId="12" xfId="0" applyNumberFormat="1" applyFont="1" applyFill="1" applyBorder="1" applyAlignment="1">
      <alignment horizontal="center" vertical="center" wrapText="1"/>
    </xf>
    <xf numFmtId="196" fontId="16" fillId="0" borderId="0" xfId="0" applyNumberFormat="1" applyFont="1" applyFill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47" fillId="26" borderId="11" xfId="0" applyFont="1" applyFill="1" applyBorder="1" applyAlignment="1">
      <alignment horizontal="center" vertical="top" wrapText="1"/>
    </xf>
    <xf numFmtId="0" fontId="47" fillId="0" borderId="0" xfId="0" applyFont="1" applyAlignment="1">
      <alignment horizont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12" xfId="0" applyNumberFormat="1" applyFont="1" applyFill="1" applyBorder="1" applyAlignment="1">
      <alignment horizontal="center" vertical="center" wrapText="1"/>
    </xf>
    <xf numFmtId="0" fontId="17" fillId="0" borderId="13" xfId="0" applyNumberFormat="1" applyFont="1" applyFill="1" applyBorder="1" applyAlignment="1">
      <alignment horizontal="center" vertical="center" wrapText="1"/>
    </xf>
    <xf numFmtId="0" fontId="17" fillId="0" borderId="15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15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</cellXfs>
  <cellStyles count="216">
    <cellStyle name="?’ЋѓЋ‚›‰" xfId="6"/>
    <cellStyle name="?’ЋѓЋ‚›‰ 2" xfId="7"/>
    <cellStyle name="?’ЋѓЋ‚›‰_320_dod_1-8" xfId="8"/>
    <cellStyle name="_Veresen_derg" xfId="13"/>
    <cellStyle name="_Вик01102002 держ" xfId="14"/>
    <cellStyle name="_доходи" xfId="15"/>
    <cellStyle name="_Книга1" xfId="20"/>
    <cellStyle name="_освіта 25.12.2015 дод 9  2016" xfId="53"/>
    <cellStyle name="_ПНП" xfId="54"/>
    <cellStyle name="_Прогноз ДМ по районах" xfId="55"/>
    <cellStyle name="”?ЌЂЌ‘Ћ‚›‰" xfId="57"/>
    <cellStyle name="”?ЌЂЌ‘Ћ‚›‰ 2" xfId="58"/>
    <cellStyle name="”?ЌЂЌ‘Ћ‚›‰_320_dod_1-8" xfId="59"/>
    <cellStyle name="”?Љ‘?ђЋ‚ЂЌЌ›‰" xfId="60"/>
    <cellStyle name="”?Љ‘?ђЋ‚ЂЌЌ›‰ 2" xfId="61"/>
    <cellStyle name="”?Љ‘?ђЋ‚ЂЌЌ›‰_320_dod_1-8" xfId="62"/>
    <cellStyle name="”€ЌЂЌ‘Ћ‚›‰" xfId="63"/>
    <cellStyle name="”€ЌЂЌ‘Ћ‚›‰ 2" xfId="64"/>
    <cellStyle name="”€ЌЂЌ‘Ћ‚›‰_320_dod_1-8" xfId="65"/>
    <cellStyle name="”€Љ‘€ђЋ‚ЂЌЌ›‰" xfId="66"/>
    <cellStyle name="”€Љ‘€ђЋ‚ЂЌЌ›‰ 2" xfId="67"/>
    <cellStyle name="”€Љ‘€ђЋ‚ЂЌЌ›‰_320_dod_1-8" xfId="68"/>
    <cellStyle name="”ЌЂЌ‘Ћ‚›‰" xfId="69"/>
    <cellStyle name="”Љ‘ђЋ‚ЂЌЌ›‰" xfId="70"/>
    <cellStyle name="„…Ќ…†Ќ›‰" xfId="71"/>
    <cellStyle name="€’ЋѓЋ‚›‰" xfId="74"/>
    <cellStyle name="€’ЋѓЋ‚›‰ 2" xfId="75"/>
    <cellStyle name="€’ЋѓЋ‚›‰_320_dod_1-8" xfId="76"/>
    <cellStyle name="‡ЂѓЋ‹Ћ‚ЋЉ1" xfId="72"/>
    <cellStyle name="‡ЂѓЋ‹Ћ‚ЋЉ2" xfId="73"/>
    <cellStyle name="’ЋѓЋ‚›‰" xfId="56"/>
    <cellStyle name="" xfId="1"/>
    <cellStyle name="" xfId="2"/>
    <cellStyle name="_320_dod_1-8" xfId="9"/>
    <cellStyle name="_320_dod_1-8" xfId="10"/>
    <cellStyle name="_доходи" xfId="16"/>
    <cellStyle name="_доходи" xfId="17"/>
    <cellStyle name="_Лист1" xfId="21"/>
    <cellStyle name="_Лист1" xfId="22"/>
    <cellStyle name="_Лист1_1" xfId="25"/>
    <cellStyle name="_Лист1_1" xfId="26"/>
    <cellStyle name="_Лист1_1 2" xfId="29"/>
    <cellStyle name="_Лист1_1 2" xfId="30"/>
    <cellStyle name="_Лист1_1 3" xfId="33"/>
    <cellStyle name="_Лист1_1 3" xfId="34"/>
    <cellStyle name="_Лист1_1 4" xfId="37"/>
    <cellStyle name="_Лист1_1 4" xfId="38"/>
    <cellStyle name="_Лист1_1 5" xfId="41"/>
    <cellStyle name="_Лист1_1 5" xfId="42"/>
    <cellStyle name="_Лист1_1 6" xfId="45"/>
    <cellStyle name="_Лист1_1 6" xfId="46"/>
    <cellStyle name="_Лист1_1 7" xfId="49"/>
    <cellStyle name="_Лист1_1 7" xfId="50"/>
    <cellStyle name="" xfId="3"/>
    <cellStyle name="" xfId="4"/>
    <cellStyle name="_320_dod_1-8" xfId="11"/>
    <cellStyle name="_320_dod_1-8" xfId="12"/>
    <cellStyle name="_доходи" xfId="18"/>
    <cellStyle name="_доходи" xfId="19"/>
    <cellStyle name="_Лист1" xfId="23"/>
    <cellStyle name="_Лист1" xfId="24"/>
    <cellStyle name="_Лист1_1" xfId="27"/>
    <cellStyle name="_Лист1_1" xfId="28"/>
    <cellStyle name="_Лист1_1 2" xfId="31"/>
    <cellStyle name="_Лист1_1 2" xfId="32"/>
    <cellStyle name="_Лист1_1 3" xfId="35"/>
    <cellStyle name="_Лист1_1 3" xfId="36"/>
    <cellStyle name="_Лист1_1 4" xfId="39"/>
    <cellStyle name="_Лист1_1 4" xfId="40"/>
    <cellStyle name="_Лист1_1 5" xfId="43"/>
    <cellStyle name="_Лист1_1 5" xfId="44"/>
    <cellStyle name="_Лист1_1 6" xfId="47"/>
    <cellStyle name="_Лист1_1 6" xfId="48"/>
    <cellStyle name="_Лист1_1 7" xfId="51"/>
    <cellStyle name="_Лист1_1 7" xfId="52"/>
    <cellStyle name="" xfId="5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Акцентування1" xfId="134" customBuiltin="1"/>
    <cellStyle name="Акцентування2" xfId="135" customBuiltin="1"/>
    <cellStyle name="Акцентування3" xfId="136" customBuiltin="1"/>
    <cellStyle name="Акцентування4" xfId="137" customBuiltin="1"/>
    <cellStyle name="Акцентування5" xfId="138" customBuiltin="1"/>
    <cellStyle name="Акцентування6" xfId="139" customBuiltin="1"/>
    <cellStyle name="Ввід" xfId="140" customBuiltin="1"/>
    <cellStyle name="Ввод " xfId="141"/>
    <cellStyle name="Вывод" xfId="142"/>
    <cellStyle name="Вычисление" xfId="143"/>
    <cellStyle name="Гарний" xfId="144" customBuiltin="1"/>
    <cellStyle name="Гарний 2" xfId="145"/>
    <cellStyle name="Грошовий 2" xfId="146"/>
    <cellStyle name="Добре" xfId="147"/>
    <cellStyle name="Заголовок 1" xfId="148" builtinId="16" customBuiltin="1"/>
    <cellStyle name="Заголовок 2" xfId="149" builtinId="17" customBuiltin="1"/>
    <cellStyle name="Заголовок 3" xfId="150" builtinId="18" customBuiltin="1"/>
    <cellStyle name="Заголовок 4" xfId="151" builtinId="19" customBuiltin="1"/>
    <cellStyle name="Звичайний 10" xfId="152"/>
    <cellStyle name="Звичайний 11" xfId="153"/>
    <cellStyle name="Звичайний 12" xfId="154"/>
    <cellStyle name="Звичайний 13" xfId="155"/>
    <cellStyle name="Звичайний 14" xfId="156"/>
    <cellStyle name="Звичайний 15" xfId="157"/>
    <cellStyle name="Звичайний 16" xfId="158"/>
    <cellStyle name="Звичайний 17" xfId="159"/>
    <cellStyle name="Звичайний 18" xfId="160"/>
    <cellStyle name="Звичайний 19" xfId="161"/>
    <cellStyle name="Звичайний 2" xfId="162"/>
    <cellStyle name="Звичайний 2 2" xfId="163"/>
    <cellStyle name="Звичайний 2 2 2" xfId="164"/>
    <cellStyle name="Звичайний 2 3" xfId="165"/>
    <cellStyle name="Звичайний 2_13 Додаток ПТУ 1" xfId="166"/>
    <cellStyle name="Звичайний 20" xfId="167"/>
    <cellStyle name="Звичайний 3" xfId="168"/>
    <cellStyle name="Звичайний 3 2" xfId="169"/>
    <cellStyle name="Звичайний 4" xfId="170"/>
    <cellStyle name="Звичайний 4 2" xfId="171"/>
    <cellStyle name="Звичайний 4 2 2" xfId="172"/>
    <cellStyle name="Звичайний 4 3" xfId="173"/>
    <cellStyle name="Звичайний 4_13 Додаток ПТУ 1" xfId="174"/>
    <cellStyle name="Звичайний 5" xfId="175"/>
    <cellStyle name="Звичайний 6" xfId="176"/>
    <cellStyle name="Звичайний 7" xfId="177"/>
    <cellStyle name="Звичайний 8" xfId="178"/>
    <cellStyle name="Звичайний 9" xfId="179"/>
    <cellStyle name="Зв'язана клітинка" xfId="180" customBuiltin="1"/>
    <cellStyle name="Итог" xfId="181"/>
    <cellStyle name="Контрольна клітинка" xfId="182" customBuiltin="1"/>
    <cellStyle name="Контрольная ячейка" xfId="183"/>
    <cellStyle name="Назва" xfId="184" customBuiltin="1"/>
    <cellStyle name="Название" xfId="185"/>
    <cellStyle name="Нейтральний" xfId="186" customBuiltin="1"/>
    <cellStyle name="Нейтральний 2" xfId="187"/>
    <cellStyle name="Нейтральный" xfId="188"/>
    <cellStyle name="Обчислення" xfId="189" customBuiltin="1"/>
    <cellStyle name="Обычный" xfId="0" builtinId="0"/>
    <cellStyle name="Обычный 2" xfId="190"/>
    <cellStyle name="Обычный 2 2" xfId="191"/>
    <cellStyle name="Обычный 2 2 2" xfId="192"/>
    <cellStyle name="Обычный 2 3" xfId="193"/>
    <cellStyle name="Підсумок" xfId="194" customBuiltin="1"/>
    <cellStyle name="Плохой" xfId="195"/>
    <cellStyle name="Поганий" xfId="196" customBuiltin="1"/>
    <cellStyle name="Пояснение" xfId="197"/>
    <cellStyle name="Примечание" xfId="198"/>
    <cellStyle name="Примечание 2" xfId="199"/>
    <cellStyle name="Примітка" xfId="200" customBuiltin="1"/>
    <cellStyle name="Результат" xfId="201" customBuiltin="1"/>
    <cellStyle name="Связанная ячейка" xfId="202"/>
    <cellStyle name="Середній" xfId="203"/>
    <cellStyle name="Стиль 1" xfId="204"/>
    <cellStyle name="Текст попередження" xfId="205" customBuiltin="1"/>
    <cellStyle name="Текст пояснення" xfId="206" customBuiltin="1"/>
    <cellStyle name="Текст предупреждения" xfId="207"/>
    <cellStyle name="Тысячи [0]_Додаток №1" xfId="208"/>
    <cellStyle name="Тысячи_Додаток №1" xfId="209"/>
    <cellStyle name="Фінансовий 2" xfId="210"/>
    <cellStyle name="Фінансовий 2 2" xfId="211"/>
    <cellStyle name="Фінансовий 2 2 2" xfId="212"/>
    <cellStyle name="Фінансовий 2 3" xfId="213"/>
    <cellStyle name="Хороший" xfId="214"/>
    <cellStyle name="ЏђЋ–…Ќ’Ќ›‰" xfId="21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158"/>
  <sheetViews>
    <sheetView tabSelected="1" view="pageBreakPreview" zoomScale="75" zoomScaleNormal="60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N114" sqref="N114"/>
    </sheetView>
  </sheetViews>
  <sheetFormatPr defaultColWidth="9.109375" defaultRowHeight="18"/>
  <cols>
    <col min="1" max="1" width="7" style="3" customWidth="1"/>
    <col min="2" max="2" width="16.33203125" style="7" customWidth="1"/>
    <col min="3" max="3" width="45.109375" style="5" customWidth="1"/>
    <col min="4" max="4" width="32.5546875" style="3" customWidth="1"/>
    <col min="5" max="5" width="16.33203125" style="3" customWidth="1"/>
    <col min="6" max="6" width="15.5546875" style="3" customWidth="1"/>
    <col min="7" max="7" width="15.44140625" style="3" customWidth="1"/>
    <col min="8" max="8" width="16.5546875" style="3" customWidth="1"/>
    <col min="9" max="9" width="16" style="3" customWidth="1"/>
    <col min="10" max="10" width="15.44140625" style="3" customWidth="1"/>
    <col min="11" max="11" width="12" style="3" customWidth="1"/>
    <col min="12" max="16384" width="9.109375" style="3"/>
  </cols>
  <sheetData>
    <row r="1" spans="1:11" ht="18.75" customHeight="1">
      <c r="A1" s="45" t="s">
        <v>126</v>
      </c>
      <c r="B1" s="45"/>
      <c r="C1" s="45"/>
      <c r="D1" s="45"/>
      <c r="E1" s="45"/>
      <c r="F1" s="45"/>
      <c r="G1" s="45"/>
      <c r="H1" s="45"/>
      <c r="I1" s="45"/>
      <c r="J1" s="45"/>
      <c r="K1" s="11"/>
    </row>
    <row r="2" spans="1:11">
      <c r="A2" s="2" t="s">
        <v>16</v>
      </c>
      <c r="B2" s="6"/>
      <c r="C2" s="4"/>
      <c r="D2" s="46" t="s">
        <v>180</v>
      </c>
      <c r="E2" s="46"/>
      <c r="F2" s="2"/>
      <c r="G2" s="2"/>
      <c r="H2" s="2"/>
      <c r="I2" s="2"/>
      <c r="J2" s="14" t="s">
        <v>11</v>
      </c>
      <c r="K2" s="14"/>
    </row>
    <row r="3" spans="1:11" ht="28.95" customHeight="1">
      <c r="A3" s="37" t="s">
        <v>6</v>
      </c>
      <c r="B3" s="48" t="s">
        <v>29</v>
      </c>
      <c r="C3" s="37" t="s">
        <v>5</v>
      </c>
      <c r="D3" s="37" t="s">
        <v>0</v>
      </c>
      <c r="E3" s="50" t="s">
        <v>7</v>
      </c>
      <c r="F3" s="51"/>
      <c r="G3" s="52"/>
      <c r="H3" s="37" t="s">
        <v>8</v>
      </c>
      <c r="I3" s="37"/>
      <c r="J3" s="37"/>
      <c r="K3" s="37" t="s">
        <v>9</v>
      </c>
    </row>
    <row r="4" spans="1:11" ht="60.75" customHeight="1">
      <c r="A4" s="37"/>
      <c r="B4" s="49"/>
      <c r="C4" s="37"/>
      <c r="D4" s="37"/>
      <c r="E4" s="1" t="s">
        <v>3</v>
      </c>
      <c r="F4" s="1" t="s">
        <v>4</v>
      </c>
      <c r="G4" s="1" t="s">
        <v>2</v>
      </c>
      <c r="H4" s="1" t="s">
        <v>3</v>
      </c>
      <c r="I4" s="1" t="s">
        <v>4</v>
      </c>
      <c r="J4" s="1" t="s">
        <v>2</v>
      </c>
      <c r="K4" s="37"/>
    </row>
    <row r="5" spans="1:11" ht="151.5" customHeight="1">
      <c r="A5" s="37">
        <v>1</v>
      </c>
      <c r="B5" s="10" t="s">
        <v>57</v>
      </c>
      <c r="C5" s="24" t="s">
        <v>86</v>
      </c>
      <c r="D5" s="25" t="s">
        <v>13</v>
      </c>
      <c r="E5" s="8">
        <f>E6+E7+E8</f>
        <v>7665</v>
      </c>
      <c r="F5" s="8">
        <f>F6+F7+F8</f>
        <v>0</v>
      </c>
      <c r="G5" s="8">
        <f t="shared" ref="G5:G16" si="0">E5+F5</f>
        <v>7665</v>
      </c>
      <c r="H5" s="8">
        <f>H6+H7+H8</f>
        <v>921.1389999999999</v>
      </c>
      <c r="I5" s="8">
        <f>I6+I7+I8</f>
        <v>0</v>
      </c>
      <c r="J5" s="8">
        <f t="shared" ref="J5:J16" si="1">H5+I5</f>
        <v>921.1389999999999</v>
      </c>
      <c r="K5" s="8">
        <f t="shared" ref="K5:K16" si="2">J5/G5*100</f>
        <v>12.017469015003259</v>
      </c>
    </row>
    <row r="6" spans="1:11" ht="54" customHeight="1">
      <c r="A6" s="37"/>
      <c r="B6" s="10" t="s">
        <v>59</v>
      </c>
      <c r="C6" s="37" t="s">
        <v>58</v>
      </c>
      <c r="D6" s="1" t="s">
        <v>14</v>
      </c>
      <c r="E6" s="9">
        <v>950</v>
      </c>
      <c r="F6" s="9"/>
      <c r="G6" s="8">
        <f t="shared" si="0"/>
        <v>950</v>
      </c>
      <c r="H6" s="9">
        <f>11.5+4.3+13.4+10+13.95</f>
        <v>53.150000000000006</v>
      </c>
      <c r="I6" s="9"/>
      <c r="J6" s="8">
        <f t="shared" si="1"/>
        <v>53.150000000000006</v>
      </c>
      <c r="K6" s="8">
        <f t="shared" si="2"/>
        <v>5.594736842105263</v>
      </c>
    </row>
    <row r="7" spans="1:11" ht="49.5" customHeight="1">
      <c r="A7" s="37"/>
      <c r="B7" s="10" t="s">
        <v>87</v>
      </c>
      <c r="C7" s="37"/>
      <c r="D7" s="1" t="s">
        <v>18</v>
      </c>
      <c r="E7" s="9">
        <v>1000</v>
      </c>
      <c r="F7" s="9"/>
      <c r="G7" s="8">
        <f t="shared" si="0"/>
        <v>1000</v>
      </c>
      <c r="H7" s="9">
        <v>2.9</v>
      </c>
      <c r="I7" s="9"/>
      <c r="J7" s="8">
        <f t="shared" si="1"/>
        <v>2.9</v>
      </c>
      <c r="K7" s="8">
        <f t="shared" si="2"/>
        <v>0.28999999999999998</v>
      </c>
    </row>
    <row r="8" spans="1:11" ht="62.25" customHeight="1">
      <c r="A8" s="37"/>
      <c r="B8" s="10">
        <v>2317693</v>
      </c>
      <c r="C8" s="1" t="s">
        <v>60</v>
      </c>
      <c r="D8" s="1" t="s">
        <v>88</v>
      </c>
      <c r="E8" s="9">
        <v>5715</v>
      </c>
      <c r="F8" s="9"/>
      <c r="G8" s="8">
        <f t="shared" si="0"/>
        <v>5715</v>
      </c>
      <c r="H8" s="9">
        <f>418.43+1+262.9+46.2+119.48+17.079</f>
        <v>865.08899999999994</v>
      </c>
      <c r="I8" s="9"/>
      <c r="J8" s="8">
        <f t="shared" si="1"/>
        <v>865.08899999999994</v>
      </c>
      <c r="K8" s="8">
        <f t="shared" si="2"/>
        <v>15.137165354330708</v>
      </c>
    </row>
    <row r="9" spans="1:11" ht="153.75" customHeight="1">
      <c r="A9" s="37">
        <v>2</v>
      </c>
      <c r="B9" s="26"/>
      <c r="C9" s="27" t="s">
        <v>89</v>
      </c>
      <c r="D9" s="25" t="s">
        <v>13</v>
      </c>
      <c r="E9" s="8">
        <f>E10+E11+E12+E13+E14</f>
        <v>46100</v>
      </c>
      <c r="F9" s="8">
        <f>F10+F11+F12+F13+F14</f>
        <v>1000</v>
      </c>
      <c r="G9" s="8">
        <f t="shared" si="0"/>
        <v>47100</v>
      </c>
      <c r="H9" s="8">
        <f>H10+H11+H12+H13+H14</f>
        <v>11261.800000000001</v>
      </c>
      <c r="I9" s="8">
        <f>I10+I11+I12+I13+I14</f>
        <v>0</v>
      </c>
      <c r="J9" s="8">
        <f t="shared" si="1"/>
        <v>11261.800000000001</v>
      </c>
      <c r="K9" s="8">
        <f t="shared" si="2"/>
        <v>23.910403397027601</v>
      </c>
    </row>
    <row r="10" spans="1:11" ht="52.5" customHeight="1">
      <c r="A10" s="37"/>
      <c r="B10" s="10" t="s">
        <v>90</v>
      </c>
      <c r="C10" s="1" t="s">
        <v>32</v>
      </c>
      <c r="D10" s="1" t="s">
        <v>14</v>
      </c>
      <c r="E10" s="9">
        <f>585+115</f>
        <v>700</v>
      </c>
      <c r="F10" s="9"/>
      <c r="G10" s="8">
        <f t="shared" si="0"/>
        <v>700</v>
      </c>
      <c r="H10" s="9"/>
      <c r="I10" s="9"/>
      <c r="J10" s="8">
        <f t="shared" si="1"/>
        <v>0</v>
      </c>
      <c r="K10" s="8">
        <f t="shared" si="2"/>
        <v>0</v>
      </c>
    </row>
    <row r="11" spans="1:11" ht="50.25" customHeight="1">
      <c r="A11" s="37"/>
      <c r="B11" s="10">
        <v>2314070</v>
      </c>
      <c r="C11" s="1" t="s">
        <v>30</v>
      </c>
      <c r="D11" s="37" t="s">
        <v>88</v>
      </c>
      <c r="E11" s="9"/>
      <c r="F11" s="9">
        <v>1000</v>
      </c>
      <c r="G11" s="8">
        <f t="shared" si="0"/>
        <v>1000</v>
      </c>
      <c r="H11" s="9"/>
      <c r="I11" s="9"/>
      <c r="J11" s="8">
        <f t="shared" si="1"/>
        <v>0</v>
      </c>
      <c r="K11" s="8">
        <f t="shared" si="2"/>
        <v>0</v>
      </c>
    </row>
    <row r="12" spans="1:11" ht="53.25" customHeight="1">
      <c r="A12" s="37"/>
      <c r="B12" s="10">
        <v>2318410</v>
      </c>
      <c r="C12" s="1" t="s">
        <v>31</v>
      </c>
      <c r="D12" s="37"/>
      <c r="E12" s="9">
        <v>39071</v>
      </c>
      <c r="F12" s="9"/>
      <c r="G12" s="8">
        <f t="shared" si="0"/>
        <v>39071</v>
      </c>
      <c r="H12" s="9">
        <f>5568.6+1769+451.1+92.4+366+555.8+2222.3+47</f>
        <v>11072.2</v>
      </c>
      <c r="I12" s="9"/>
      <c r="J12" s="8">
        <f t="shared" si="1"/>
        <v>11072.2</v>
      </c>
      <c r="K12" s="8">
        <f t="shared" si="2"/>
        <v>28.338665506385812</v>
      </c>
    </row>
    <row r="13" spans="1:11" ht="55.5" customHeight="1">
      <c r="A13" s="37"/>
      <c r="B13" s="10" t="s">
        <v>91</v>
      </c>
      <c r="C13" s="1" t="s">
        <v>32</v>
      </c>
      <c r="D13" s="37"/>
      <c r="E13" s="9">
        <f>5244-115</f>
        <v>5129</v>
      </c>
      <c r="F13" s="9"/>
      <c r="G13" s="8">
        <f t="shared" si="0"/>
        <v>5129</v>
      </c>
      <c r="H13" s="9">
        <f>136.1+23.4+24.1</f>
        <v>183.6</v>
      </c>
      <c r="I13" s="9"/>
      <c r="J13" s="8">
        <f t="shared" si="1"/>
        <v>183.6</v>
      </c>
      <c r="K13" s="8">
        <f t="shared" si="2"/>
        <v>3.5796451550009745</v>
      </c>
    </row>
    <row r="14" spans="1:11" ht="54.75" customHeight="1">
      <c r="A14" s="37"/>
      <c r="B14" s="10" t="s">
        <v>92</v>
      </c>
      <c r="C14" s="1" t="s">
        <v>93</v>
      </c>
      <c r="D14" s="37"/>
      <c r="E14" s="9">
        <v>1200</v>
      </c>
      <c r="F14" s="9"/>
      <c r="G14" s="8">
        <f t="shared" si="0"/>
        <v>1200</v>
      </c>
      <c r="H14" s="9">
        <v>6</v>
      </c>
      <c r="I14" s="9"/>
      <c r="J14" s="8">
        <f t="shared" si="1"/>
        <v>6</v>
      </c>
      <c r="K14" s="8">
        <f t="shared" si="2"/>
        <v>0.5</v>
      </c>
    </row>
    <row r="15" spans="1:11" ht="156" customHeight="1">
      <c r="A15" s="37">
        <v>3</v>
      </c>
      <c r="B15" s="1"/>
      <c r="C15" s="27" t="s">
        <v>94</v>
      </c>
      <c r="D15" s="25" t="s">
        <v>13</v>
      </c>
      <c r="E15" s="8">
        <f>SUM(E16+E17+E18)</f>
        <v>23490</v>
      </c>
      <c r="F15" s="8">
        <f>SUM(F16+F17+F18)</f>
        <v>8850</v>
      </c>
      <c r="G15" s="8">
        <f t="shared" si="0"/>
        <v>32340</v>
      </c>
      <c r="H15" s="8">
        <f>SUM(H16+H17+H18)</f>
        <v>1836.1999999999998</v>
      </c>
      <c r="I15" s="8">
        <f>SUM(I16+I17+I18)</f>
        <v>0</v>
      </c>
      <c r="J15" s="8">
        <f t="shared" si="1"/>
        <v>1836.1999999999998</v>
      </c>
      <c r="K15" s="28">
        <f t="shared" si="2"/>
        <v>5.6777983920841057</v>
      </c>
    </row>
    <row r="16" spans="1:11" ht="59.25" customHeight="1">
      <c r="A16" s="37"/>
      <c r="B16" s="10" t="s">
        <v>95</v>
      </c>
      <c r="C16" s="12" t="s">
        <v>61</v>
      </c>
      <c r="D16" s="38" t="s">
        <v>15</v>
      </c>
      <c r="E16" s="9">
        <f>13090+4000</f>
        <v>17090</v>
      </c>
      <c r="F16" s="9">
        <v>8850</v>
      </c>
      <c r="G16" s="8">
        <f t="shared" si="0"/>
        <v>25940</v>
      </c>
      <c r="H16" s="9"/>
      <c r="I16" s="9"/>
      <c r="J16" s="8">
        <f t="shared" si="1"/>
        <v>0</v>
      </c>
      <c r="K16" s="28">
        <f t="shared" si="2"/>
        <v>0</v>
      </c>
    </row>
    <row r="17" spans="1:11" ht="95.25" customHeight="1">
      <c r="A17" s="37"/>
      <c r="B17" s="10" t="s">
        <v>96</v>
      </c>
      <c r="C17" s="1" t="s">
        <v>97</v>
      </c>
      <c r="D17" s="39"/>
      <c r="E17" s="9">
        <v>2440.8000000000002</v>
      </c>
      <c r="F17" s="9"/>
      <c r="G17" s="8">
        <f>E17+F17</f>
        <v>2440.8000000000002</v>
      </c>
      <c r="H17" s="9">
        <f>408.5+75.1+103.8</f>
        <v>587.4</v>
      </c>
      <c r="I17" s="9"/>
      <c r="J17" s="8">
        <f>H17+I17</f>
        <v>587.4</v>
      </c>
      <c r="K17" s="28">
        <f>J17/G17*100</f>
        <v>24.065880039331365</v>
      </c>
    </row>
    <row r="18" spans="1:11" ht="111" customHeight="1">
      <c r="A18" s="37"/>
      <c r="B18" s="10" t="s">
        <v>98</v>
      </c>
      <c r="C18" s="1" t="s">
        <v>99</v>
      </c>
      <c r="D18" s="40"/>
      <c r="E18" s="9">
        <v>3959.2</v>
      </c>
      <c r="F18" s="9"/>
      <c r="G18" s="8">
        <f>E18+F18</f>
        <v>3959.2</v>
      </c>
      <c r="H18" s="9">
        <f>799+156.6+134.2+159</f>
        <v>1248.8</v>
      </c>
      <c r="I18" s="9"/>
      <c r="J18" s="8">
        <f>H18+I18</f>
        <v>1248.8</v>
      </c>
      <c r="K18" s="28">
        <f>J18/G18*100</f>
        <v>31.541725601131542</v>
      </c>
    </row>
    <row r="19" spans="1:11" ht="165" customHeight="1">
      <c r="A19" s="38">
        <v>4</v>
      </c>
      <c r="B19" s="10"/>
      <c r="C19" s="27" t="s">
        <v>100</v>
      </c>
      <c r="D19" s="25" t="s">
        <v>13</v>
      </c>
      <c r="E19" s="13">
        <f>SUM(E20:E32)</f>
        <v>516490.21697999997</v>
      </c>
      <c r="F19" s="13">
        <f>SUM(F20+F21+F22+F23+F24+F25+F26+F27+F28+F29+F30+F31+F32)</f>
        <v>72126.316359999997</v>
      </c>
      <c r="G19" s="8">
        <f>E19+F19</f>
        <v>588616.53333999997</v>
      </c>
      <c r="H19" s="13">
        <f>SUM(H20+H21+H22+H23+H24+H25+H26+H27+H28+H29+H30+H31+H32)</f>
        <v>199817.31000000003</v>
      </c>
      <c r="I19" s="13">
        <f>SUM(I20+I21+I22+I23+I24+I25+I26+I27+I28+I29+I30+I31+I32)</f>
        <v>0</v>
      </c>
      <c r="J19" s="8">
        <f t="shared" ref="J19:J32" si="3">H19+I19</f>
        <v>199817.31000000003</v>
      </c>
      <c r="K19" s="8">
        <f>J19/G19*100</f>
        <v>33.946941460541751</v>
      </c>
    </row>
    <row r="20" spans="1:11" ht="87" customHeight="1">
      <c r="A20" s="39"/>
      <c r="B20" s="10" t="s">
        <v>101</v>
      </c>
      <c r="C20" s="1" t="s">
        <v>102</v>
      </c>
      <c r="D20" s="38" t="s">
        <v>10</v>
      </c>
      <c r="E20" s="16">
        <f>24368.078+4000</f>
        <v>28368.078000000001</v>
      </c>
      <c r="F20" s="9">
        <f>25+500</f>
        <v>525</v>
      </c>
      <c r="G20" s="8">
        <f>E20+F20</f>
        <v>28893.078000000001</v>
      </c>
      <c r="H20" s="9">
        <f>1700+938.4+1606.3+833.7+4085.4+2963.9+20.1+7.7</f>
        <v>12155.5</v>
      </c>
      <c r="I20" s="9"/>
      <c r="J20" s="8">
        <f t="shared" si="3"/>
        <v>12155.5</v>
      </c>
      <c r="K20" s="8">
        <f t="shared" ref="K20:K32" si="4">J20/G20*100</f>
        <v>42.070630204230916</v>
      </c>
    </row>
    <row r="21" spans="1:11" ht="77.25" customHeight="1">
      <c r="A21" s="39"/>
      <c r="B21" s="10" t="s">
        <v>103</v>
      </c>
      <c r="C21" s="1" t="s">
        <v>104</v>
      </c>
      <c r="D21" s="39"/>
      <c r="E21" s="16">
        <f>88213.54+11149.7-3240.4+3126.4+425.1</f>
        <v>99674.34</v>
      </c>
      <c r="F21" s="9">
        <v>6951.3163599999998</v>
      </c>
      <c r="G21" s="8">
        <f t="shared" ref="G21:G32" si="5">E21+F21</f>
        <v>106625.65635999999</v>
      </c>
      <c r="H21" s="9">
        <f>2238.8+3558.7+2843.6+5167.8+6422.7+757.3+650.8+1783.3+8645.8+50.2+11476.6+2164.6+2972.5+6921.8+526.8+1416.9</f>
        <v>57598.200000000004</v>
      </c>
      <c r="I21" s="9"/>
      <c r="J21" s="8">
        <f t="shared" si="3"/>
        <v>57598.200000000004</v>
      </c>
      <c r="K21" s="8">
        <f t="shared" si="4"/>
        <v>54.019081303969955</v>
      </c>
    </row>
    <row r="22" spans="1:11" ht="77.25" customHeight="1">
      <c r="A22" s="39"/>
      <c r="B22" s="10" t="s">
        <v>105</v>
      </c>
      <c r="C22" s="1" t="s">
        <v>106</v>
      </c>
      <c r="D22" s="39"/>
      <c r="E22" s="16">
        <v>7944.8050000000003</v>
      </c>
      <c r="F22" s="9"/>
      <c r="G22" s="8">
        <f t="shared" si="5"/>
        <v>7944.8050000000003</v>
      </c>
      <c r="H22" s="9">
        <f>100+543+267.8+1010+92+270+218.1+668.4</f>
        <v>3169.3</v>
      </c>
      <c r="I22" s="9"/>
      <c r="J22" s="8">
        <f t="shared" si="3"/>
        <v>3169.3</v>
      </c>
      <c r="K22" s="8">
        <f t="shared" si="4"/>
        <v>39.891476253979803</v>
      </c>
    </row>
    <row r="23" spans="1:11" ht="89.25" customHeight="1">
      <c r="A23" s="39"/>
      <c r="B23" s="10" t="s">
        <v>107</v>
      </c>
      <c r="C23" s="1" t="s">
        <v>108</v>
      </c>
      <c r="D23" s="39"/>
      <c r="E23" s="16">
        <f>15113.218-976.9</f>
        <v>14136.318000000001</v>
      </c>
      <c r="F23" s="9"/>
      <c r="G23" s="8">
        <f t="shared" si="5"/>
        <v>14136.318000000001</v>
      </c>
      <c r="H23" s="9">
        <f>1006+976+50.84+377.7+215.9+1220+464.3+969.8+57.4+1305.2+18+637.9+1.1</f>
        <v>7300.1399999999994</v>
      </c>
      <c r="I23" s="9"/>
      <c r="J23" s="8">
        <f t="shared" si="3"/>
        <v>7300.1399999999994</v>
      </c>
      <c r="K23" s="8">
        <f t="shared" si="4"/>
        <v>51.641028448850676</v>
      </c>
    </row>
    <row r="24" spans="1:11" ht="90" customHeight="1">
      <c r="A24" s="39"/>
      <c r="B24" s="10" t="s">
        <v>109</v>
      </c>
      <c r="C24" s="1" t="s">
        <v>110</v>
      </c>
      <c r="D24" s="39"/>
      <c r="E24" s="16">
        <f>40873.068+1324.5-2024.5</f>
        <v>40173.067999999999</v>
      </c>
      <c r="F24" s="9"/>
      <c r="G24" s="8">
        <f t="shared" si="5"/>
        <v>40173.067999999999</v>
      </c>
      <c r="H24" s="9">
        <f>22.9+759.4+50+172.1+114.3+3243.5+568.4+1697.5+1473.9+1415.4+267.5+1213.5+58.5+990.5+1770.4</f>
        <v>13817.8</v>
      </c>
      <c r="I24" s="9"/>
      <c r="J24" s="8">
        <f t="shared" si="3"/>
        <v>13817.8</v>
      </c>
      <c r="K24" s="8">
        <f t="shared" si="4"/>
        <v>34.395680210433518</v>
      </c>
    </row>
    <row r="25" spans="1:11" ht="77.25" customHeight="1">
      <c r="A25" s="39"/>
      <c r="B25" s="10" t="s">
        <v>111</v>
      </c>
      <c r="C25" s="1" t="s">
        <v>112</v>
      </c>
      <c r="D25" s="39"/>
      <c r="E25" s="16">
        <f>36534.53+719.3-1069.3</f>
        <v>36184.53</v>
      </c>
      <c r="F25" s="9"/>
      <c r="G25" s="8">
        <f t="shared" si="5"/>
        <v>36184.53</v>
      </c>
      <c r="H25" s="9">
        <f>50+599.8+252.27+134.8+2753.6+1462.4+208.7+1096.8+1707.9+60.1+1203+304.4+1400.8+52.2</f>
        <v>11286.77</v>
      </c>
      <c r="I25" s="9"/>
      <c r="J25" s="8">
        <f t="shared" si="3"/>
        <v>11286.77</v>
      </c>
      <c r="K25" s="8">
        <f t="shared" si="4"/>
        <v>31.192252600766128</v>
      </c>
    </row>
    <row r="26" spans="1:11" ht="78.75" customHeight="1">
      <c r="A26" s="39"/>
      <c r="B26" s="10" t="s">
        <v>113</v>
      </c>
      <c r="C26" s="1" t="s">
        <v>114</v>
      </c>
      <c r="D26" s="39"/>
      <c r="E26" s="16">
        <f>4541.658+713.61698</f>
        <v>5255.2749800000001</v>
      </c>
      <c r="F26" s="9"/>
      <c r="G26" s="8">
        <f t="shared" si="5"/>
        <v>5255.2749800000001</v>
      </c>
      <c r="H26" s="9">
        <f>100+676.3+605.8+535.8+423.9</f>
        <v>2341.7999999999997</v>
      </c>
      <c r="I26" s="9"/>
      <c r="J26" s="8">
        <f t="shared" si="3"/>
        <v>2341.7999999999997</v>
      </c>
      <c r="K26" s="8">
        <f t="shared" si="4"/>
        <v>44.560941319192395</v>
      </c>
    </row>
    <row r="27" spans="1:11" ht="82.5" customHeight="1">
      <c r="A27" s="39"/>
      <c r="B27" s="10" t="s">
        <v>115</v>
      </c>
      <c r="C27" s="1" t="s">
        <v>116</v>
      </c>
      <c r="D27" s="39"/>
      <c r="E27" s="16">
        <f>25306.674-4597+4161</f>
        <v>24870.673999999999</v>
      </c>
      <c r="F27" s="9"/>
      <c r="G27" s="8">
        <f t="shared" si="5"/>
        <v>24870.673999999999</v>
      </c>
      <c r="H27" s="9">
        <f>217.1+603.3+1027.1+275.3+1482.5+456.7+24.9+1453.1+613.1+15+176.1+55.9+1167.4+637+1.8+85.2</f>
        <v>8291.5</v>
      </c>
      <c r="I27" s="9"/>
      <c r="J27" s="8">
        <f t="shared" si="3"/>
        <v>8291.5</v>
      </c>
      <c r="K27" s="8">
        <f t="shared" si="4"/>
        <v>33.338461193291344</v>
      </c>
    </row>
    <row r="28" spans="1:11" ht="81.75" customHeight="1">
      <c r="A28" s="39"/>
      <c r="B28" s="10" t="s">
        <v>117</v>
      </c>
      <c r="C28" s="1" t="s">
        <v>118</v>
      </c>
      <c r="D28" s="39"/>
      <c r="E28" s="16">
        <f>29296.298+719.3-1069.3</f>
        <v>28946.297999999999</v>
      </c>
      <c r="F28" s="9"/>
      <c r="G28" s="8">
        <f t="shared" si="5"/>
        <v>28946.297999999999</v>
      </c>
      <c r="H28" s="9">
        <f>10+576.3+229.5+154.5+2175.3+7+1303.2+1250.9+1210.6+849.5+69.7+1830.4+93.6</f>
        <v>9760.5000000000018</v>
      </c>
      <c r="I28" s="9"/>
      <c r="J28" s="8">
        <f t="shared" si="3"/>
        <v>9760.5000000000018</v>
      </c>
      <c r="K28" s="8">
        <f t="shared" si="4"/>
        <v>33.719337788894464</v>
      </c>
    </row>
    <row r="29" spans="1:11" ht="79.5" customHeight="1">
      <c r="A29" s="39"/>
      <c r="B29" s="10" t="s">
        <v>119</v>
      </c>
      <c r="C29" s="1" t="s">
        <v>120</v>
      </c>
      <c r="D29" s="39"/>
      <c r="E29" s="16">
        <v>1125.9000000000001</v>
      </c>
      <c r="F29" s="9"/>
      <c r="G29" s="8">
        <f t="shared" si="5"/>
        <v>1125.9000000000001</v>
      </c>
      <c r="H29" s="9">
        <f>120.8+9.2+86.2+9.1+123</f>
        <v>348.29999999999995</v>
      </c>
      <c r="I29" s="9"/>
      <c r="J29" s="8">
        <f t="shared" si="3"/>
        <v>348.29999999999995</v>
      </c>
      <c r="K29" s="8">
        <f t="shared" si="4"/>
        <v>30.935251798561143</v>
      </c>
    </row>
    <row r="30" spans="1:11" ht="82.5" customHeight="1">
      <c r="A30" s="39"/>
      <c r="B30" s="10" t="s">
        <v>121</v>
      </c>
      <c r="C30" s="1" t="s">
        <v>122</v>
      </c>
      <c r="D30" s="39"/>
      <c r="E30" s="16">
        <f>101906.231+2074.3-3124.3</f>
        <v>100856.231</v>
      </c>
      <c r="F30" s="9"/>
      <c r="G30" s="8">
        <f t="shared" si="5"/>
        <v>100856.231</v>
      </c>
      <c r="H30" s="9">
        <f>123.6+498.4+93.3+219.3+149.7+9379.2+3737.2+164.8+4305.5+3441.9+926.2+1526.4+349.3+2500.5+2048.9+2409+1497.8</f>
        <v>33371.000000000007</v>
      </c>
      <c r="I30" s="9"/>
      <c r="J30" s="8">
        <f t="shared" si="3"/>
        <v>33371.000000000007</v>
      </c>
      <c r="K30" s="8">
        <f t="shared" si="4"/>
        <v>33.08769291606783</v>
      </c>
    </row>
    <row r="31" spans="1:11" ht="78.75" customHeight="1">
      <c r="A31" s="39"/>
      <c r="B31" s="10" t="s">
        <v>62</v>
      </c>
      <c r="C31" s="1" t="s">
        <v>123</v>
      </c>
      <c r="D31" s="39"/>
      <c r="E31" s="16">
        <f>84293-3000-970</f>
        <v>80323</v>
      </c>
      <c r="F31" s="9">
        <f>50650+14000</f>
        <v>64650</v>
      </c>
      <c r="G31" s="8">
        <f t="shared" si="5"/>
        <v>144973</v>
      </c>
      <c r="H31" s="9">
        <f>141.3+1579.4+711.8+239.2+810.9+274.8+3145.8+445.5+77.5+2818.6+131.7</f>
        <v>10376.500000000002</v>
      </c>
      <c r="I31" s="9"/>
      <c r="J31" s="8">
        <f t="shared" si="3"/>
        <v>10376.500000000002</v>
      </c>
      <c r="K31" s="8">
        <f t="shared" si="4"/>
        <v>7.1575396798024462</v>
      </c>
    </row>
    <row r="32" spans="1:11" ht="125.25" customHeight="1">
      <c r="A32" s="40"/>
      <c r="B32" s="10" t="s">
        <v>124</v>
      </c>
      <c r="C32" s="1" t="s">
        <v>125</v>
      </c>
      <c r="D32" s="40"/>
      <c r="E32" s="16">
        <f>36002+12629.7</f>
        <v>48631.7</v>
      </c>
      <c r="F32" s="9"/>
      <c r="G32" s="8">
        <f t="shared" si="5"/>
        <v>48631.7</v>
      </c>
      <c r="H32" s="9">
        <f>12000+6000+6000+6000</f>
        <v>30000</v>
      </c>
      <c r="I32" s="9"/>
      <c r="J32" s="8">
        <f t="shared" si="3"/>
        <v>30000</v>
      </c>
      <c r="K32" s="8">
        <f t="shared" si="4"/>
        <v>61.688158135537108</v>
      </c>
    </row>
    <row r="33" spans="1:11" ht="195.75" customHeight="1">
      <c r="A33" s="37">
        <v>5</v>
      </c>
      <c r="B33" s="10"/>
      <c r="C33" s="27" t="s">
        <v>128</v>
      </c>
      <c r="D33" s="25" t="s">
        <v>13</v>
      </c>
      <c r="E33" s="8">
        <f>SUM(E34:E38)</f>
        <v>62300.74</v>
      </c>
      <c r="F33" s="8">
        <f>SUM(F34:F38)</f>
        <v>0</v>
      </c>
      <c r="G33" s="8">
        <f t="shared" ref="G33:G42" si="6">E33+F33</f>
        <v>62300.74</v>
      </c>
      <c r="H33" s="8">
        <f>SUM(H34:H38)</f>
        <v>4801.5</v>
      </c>
      <c r="I33" s="8">
        <f>SUM(I34:I38)</f>
        <v>0</v>
      </c>
      <c r="J33" s="8">
        <f t="shared" ref="J33:J42" si="7">H33+I33</f>
        <v>4801.5</v>
      </c>
      <c r="K33" s="8">
        <f t="shared" ref="K33:K47" si="8">J33/G33*100</f>
        <v>7.7069710568445897</v>
      </c>
    </row>
    <row r="34" spans="1:11" ht="78.75" customHeight="1">
      <c r="A34" s="37"/>
      <c r="B34" s="10" t="s">
        <v>63</v>
      </c>
      <c r="C34" s="1" t="s">
        <v>127</v>
      </c>
      <c r="D34" s="37" t="s">
        <v>65</v>
      </c>
      <c r="E34" s="9">
        <v>1500</v>
      </c>
      <c r="F34" s="9"/>
      <c r="G34" s="8">
        <f t="shared" si="6"/>
        <v>1500</v>
      </c>
      <c r="H34" s="9"/>
      <c r="I34" s="9"/>
      <c r="J34" s="8">
        <f t="shared" si="7"/>
        <v>0</v>
      </c>
      <c r="K34" s="8">
        <f t="shared" si="8"/>
        <v>0</v>
      </c>
    </row>
    <row r="35" spans="1:11" ht="84" customHeight="1">
      <c r="A35" s="37"/>
      <c r="B35" s="10" t="s">
        <v>43</v>
      </c>
      <c r="C35" s="1" t="s">
        <v>33</v>
      </c>
      <c r="D35" s="37"/>
      <c r="E35" s="9">
        <v>500</v>
      </c>
      <c r="F35" s="9"/>
      <c r="G35" s="8">
        <f t="shared" si="6"/>
        <v>500</v>
      </c>
      <c r="H35" s="9"/>
      <c r="I35" s="9"/>
      <c r="J35" s="8">
        <f t="shared" si="7"/>
        <v>0</v>
      </c>
      <c r="K35" s="8">
        <f t="shared" si="8"/>
        <v>0</v>
      </c>
    </row>
    <row r="36" spans="1:11" ht="63" customHeight="1">
      <c r="A36" s="37"/>
      <c r="B36" s="10" t="s">
        <v>45</v>
      </c>
      <c r="C36" s="1" t="s">
        <v>34</v>
      </c>
      <c r="D36" s="37"/>
      <c r="E36" s="9">
        <f>59567.64-4000+650</f>
        <v>56217.64</v>
      </c>
      <c r="F36" s="9"/>
      <c r="G36" s="8">
        <f t="shared" si="6"/>
        <v>56217.64</v>
      </c>
      <c r="H36" s="9">
        <f>104.7+39+154.6+59.7+335.5+414.4+397.8+350+314+1394.7+1237.1</f>
        <v>4801.5</v>
      </c>
      <c r="I36" s="9"/>
      <c r="J36" s="8">
        <f t="shared" si="7"/>
        <v>4801.5</v>
      </c>
      <c r="K36" s="8">
        <f t="shared" si="8"/>
        <v>8.5409134926332726</v>
      </c>
    </row>
    <row r="37" spans="1:11" ht="83.25" customHeight="1">
      <c r="A37" s="37"/>
      <c r="B37" s="10" t="s">
        <v>42</v>
      </c>
      <c r="C37" s="1" t="s">
        <v>64</v>
      </c>
      <c r="D37" s="37"/>
      <c r="E37" s="9">
        <v>1500</v>
      </c>
      <c r="F37" s="9"/>
      <c r="G37" s="8">
        <f t="shared" si="6"/>
        <v>1500</v>
      </c>
      <c r="H37" s="9"/>
      <c r="I37" s="9"/>
      <c r="J37" s="8">
        <f t="shared" si="7"/>
        <v>0</v>
      </c>
      <c r="K37" s="8">
        <f t="shared" si="8"/>
        <v>0</v>
      </c>
    </row>
    <row r="38" spans="1:11" ht="68.25" customHeight="1">
      <c r="A38" s="37"/>
      <c r="B38" s="10" t="s">
        <v>44</v>
      </c>
      <c r="C38" s="1" t="s">
        <v>35</v>
      </c>
      <c r="D38" s="37"/>
      <c r="E38" s="9">
        <f>3033.1-450</f>
        <v>2583.1</v>
      </c>
      <c r="F38" s="9"/>
      <c r="G38" s="8">
        <f t="shared" si="6"/>
        <v>2583.1</v>
      </c>
      <c r="H38" s="9"/>
      <c r="I38" s="9"/>
      <c r="J38" s="8">
        <f t="shared" si="7"/>
        <v>0</v>
      </c>
      <c r="K38" s="8">
        <f t="shared" si="8"/>
        <v>0</v>
      </c>
    </row>
    <row r="39" spans="1:11" ht="138.75" customHeight="1">
      <c r="A39" s="37">
        <v>6</v>
      </c>
      <c r="B39" s="10"/>
      <c r="C39" s="27" t="s">
        <v>176</v>
      </c>
      <c r="D39" s="25" t="s">
        <v>13</v>
      </c>
      <c r="E39" s="8">
        <f>SUM(E40:E42)</f>
        <v>40282.1</v>
      </c>
      <c r="F39" s="8">
        <f>SUM(F40:F42)</f>
        <v>750</v>
      </c>
      <c r="G39" s="8">
        <f t="shared" si="6"/>
        <v>41032.1</v>
      </c>
      <c r="H39" s="8">
        <f>SUM(H40:H42)</f>
        <v>5160.3999999999996</v>
      </c>
      <c r="I39" s="8">
        <f>SUM(I40:I42)</f>
        <v>0</v>
      </c>
      <c r="J39" s="8">
        <f t="shared" si="7"/>
        <v>5160.3999999999996</v>
      </c>
      <c r="K39" s="8">
        <f t="shared" si="8"/>
        <v>12.576494988070316</v>
      </c>
    </row>
    <row r="40" spans="1:11" ht="54" customHeight="1">
      <c r="A40" s="37"/>
      <c r="B40" s="10" t="s">
        <v>45</v>
      </c>
      <c r="C40" s="1" t="s">
        <v>34</v>
      </c>
      <c r="D40" s="37" t="s">
        <v>1</v>
      </c>
      <c r="E40" s="9">
        <f>24160+72</f>
        <v>24232</v>
      </c>
      <c r="F40" s="9"/>
      <c r="G40" s="8">
        <f t="shared" si="6"/>
        <v>24232</v>
      </c>
      <c r="H40" s="9">
        <f>670+112.5+1529.2+1180.1+866.6+802</f>
        <v>5160.3999999999996</v>
      </c>
      <c r="I40" s="9"/>
      <c r="J40" s="8">
        <f t="shared" si="7"/>
        <v>5160.3999999999996</v>
      </c>
      <c r="K40" s="8">
        <f t="shared" si="8"/>
        <v>21.295807197094749</v>
      </c>
    </row>
    <row r="41" spans="1:11" ht="51.75" customHeight="1">
      <c r="A41" s="37"/>
      <c r="B41" s="10" t="s">
        <v>44</v>
      </c>
      <c r="C41" s="1" t="s">
        <v>66</v>
      </c>
      <c r="D41" s="37"/>
      <c r="E41" s="9">
        <v>16050.1</v>
      </c>
      <c r="F41" s="9"/>
      <c r="G41" s="8">
        <f t="shared" si="6"/>
        <v>16050.1</v>
      </c>
      <c r="H41" s="9"/>
      <c r="I41" s="9"/>
      <c r="J41" s="8">
        <f t="shared" si="7"/>
        <v>0</v>
      </c>
      <c r="K41" s="8">
        <f t="shared" si="8"/>
        <v>0</v>
      </c>
    </row>
    <row r="42" spans="1:11" ht="52.5" customHeight="1">
      <c r="A42" s="37"/>
      <c r="B42" s="10">
        <v>1517330</v>
      </c>
      <c r="C42" s="1" t="s">
        <v>67</v>
      </c>
      <c r="D42" s="1" t="s">
        <v>17</v>
      </c>
      <c r="E42" s="9"/>
      <c r="F42" s="9">
        <v>750</v>
      </c>
      <c r="G42" s="8">
        <f t="shared" si="6"/>
        <v>750</v>
      </c>
      <c r="H42" s="9"/>
      <c r="I42" s="9"/>
      <c r="J42" s="8">
        <f t="shared" si="7"/>
        <v>0</v>
      </c>
      <c r="K42" s="8">
        <f t="shared" si="8"/>
        <v>0</v>
      </c>
    </row>
    <row r="43" spans="1:11" ht="148.5" customHeight="1">
      <c r="A43" s="38">
        <v>7</v>
      </c>
      <c r="B43" s="10"/>
      <c r="C43" s="27" t="s">
        <v>129</v>
      </c>
      <c r="D43" s="25" t="s">
        <v>13</v>
      </c>
      <c r="E43" s="8">
        <f>SUM(E44)</f>
        <v>0</v>
      </c>
      <c r="F43" s="8">
        <f>SUM(F44)</f>
        <v>8000</v>
      </c>
      <c r="G43" s="8">
        <f>SUM(E43+F43)</f>
        <v>8000</v>
      </c>
      <c r="H43" s="8">
        <f>SUM(H44)</f>
        <v>0</v>
      </c>
      <c r="I43" s="8">
        <f>SUM(I44)</f>
        <v>0</v>
      </c>
      <c r="J43" s="8">
        <f>SUM(H43+I43)</f>
        <v>0</v>
      </c>
      <c r="K43" s="8">
        <f t="shared" si="8"/>
        <v>0</v>
      </c>
    </row>
    <row r="44" spans="1:11" ht="42" customHeight="1">
      <c r="A44" s="40"/>
      <c r="B44" s="10" t="s">
        <v>68</v>
      </c>
      <c r="C44" s="1" t="s">
        <v>35</v>
      </c>
      <c r="D44" s="1" t="s">
        <v>12</v>
      </c>
      <c r="E44" s="9"/>
      <c r="F44" s="9">
        <v>8000</v>
      </c>
      <c r="G44" s="8">
        <f>SUM(E44+F44)</f>
        <v>8000</v>
      </c>
      <c r="H44" s="9"/>
      <c r="I44" s="8"/>
      <c r="J44" s="8">
        <f>SUM(H44+I44)</f>
        <v>0</v>
      </c>
      <c r="K44" s="8">
        <f t="shared" si="8"/>
        <v>0</v>
      </c>
    </row>
    <row r="45" spans="1:11" ht="141.75" customHeight="1">
      <c r="A45" s="37">
        <v>8</v>
      </c>
      <c r="B45" s="10"/>
      <c r="C45" s="27" t="s">
        <v>130</v>
      </c>
      <c r="D45" s="25" t="s">
        <v>13</v>
      </c>
      <c r="E45" s="8">
        <f>SUM(E46)</f>
        <v>13000</v>
      </c>
      <c r="F45" s="8">
        <f>SUM(F46)</f>
        <v>0</v>
      </c>
      <c r="G45" s="8">
        <f>E45+F45</f>
        <v>13000</v>
      </c>
      <c r="H45" s="8">
        <f>SUM(H46)</f>
        <v>0</v>
      </c>
      <c r="I45" s="8">
        <f>SUM(I46)</f>
        <v>0</v>
      </c>
      <c r="J45" s="8">
        <f>H45+I45</f>
        <v>0</v>
      </c>
      <c r="K45" s="8">
        <f t="shared" si="8"/>
        <v>0</v>
      </c>
    </row>
    <row r="46" spans="1:11" ht="54" customHeight="1">
      <c r="A46" s="37"/>
      <c r="B46" s="10" t="s">
        <v>46</v>
      </c>
      <c r="C46" s="1" t="s">
        <v>54</v>
      </c>
      <c r="D46" s="1" t="s">
        <v>19</v>
      </c>
      <c r="E46" s="9">
        <v>13000</v>
      </c>
      <c r="F46" s="9"/>
      <c r="G46" s="8">
        <f>E46+F46</f>
        <v>13000</v>
      </c>
      <c r="H46" s="9"/>
      <c r="I46" s="9"/>
      <c r="J46" s="8">
        <f>H46+I46</f>
        <v>0</v>
      </c>
      <c r="K46" s="8">
        <f t="shared" si="8"/>
        <v>0</v>
      </c>
    </row>
    <row r="47" spans="1:11" ht="162" customHeight="1">
      <c r="A47" s="37">
        <v>9</v>
      </c>
      <c r="B47" s="10"/>
      <c r="C47" s="27" t="s">
        <v>131</v>
      </c>
      <c r="D47" s="25" t="s">
        <v>13</v>
      </c>
      <c r="E47" s="8">
        <f>SUM(E48+E49+E50+E51+E52+E54)+E53</f>
        <v>7725.3</v>
      </c>
      <c r="F47" s="8">
        <f>SUM(F48+F49+F50+F51+F52+F54)+F53</f>
        <v>31874.7</v>
      </c>
      <c r="G47" s="8">
        <f>E47+F47</f>
        <v>39600</v>
      </c>
      <c r="H47" s="8">
        <f>SUM(H48+H49+H50+H51+H52+H54)+H53</f>
        <v>562.21</v>
      </c>
      <c r="I47" s="8">
        <f>SUM(I48+I49+I50+I51+I52+I54)+I53</f>
        <v>0</v>
      </c>
      <c r="J47" s="8">
        <f t="shared" ref="J47:J54" si="9">H47+I47</f>
        <v>562.21</v>
      </c>
      <c r="K47" s="8">
        <f t="shared" si="8"/>
        <v>1.4197222222222223</v>
      </c>
    </row>
    <row r="48" spans="1:11" ht="66" customHeight="1">
      <c r="A48" s="37"/>
      <c r="B48" s="10" t="s">
        <v>132</v>
      </c>
      <c r="C48" s="1" t="s">
        <v>133</v>
      </c>
      <c r="D48" s="37" t="s">
        <v>134</v>
      </c>
      <c r="E48" s="9">
        <v>1700</v>
      </c>
      <c r="F48" s="9"/>
      <c r="G48" s="8">
        <f t="shared" ref="G48:G54" si="10">E48+F48</f>
        <v>1700</v>
      </c>
      <c r="H48" s="9"/>
      <c r="I48" s="9"/>
      <c r="J48" s="8">
        <f t="shared" si="9"/>
        <v>0</v>
      </c>
      <c r="K48" s="8">
        <f t="shared" ref="K48:K54" si="11">J48/G48*100</f>
        <v>0</v>
      </c>
    </row>
    <row r="49" spans="1:11" ht="69.75" customHeight="1">
      <c r="A49" s="37"/>
      <c r="B49" s="10" t="s">
        <v>135</v>
      </c>
      <c r="C49" s="1" t="s">
        <v>136</v>
      </c>
      <c r="D49" s="37"/>
      <c r="E49" s="9">
        <v>1250</v>
      </c>
      <c r="F49" s="9"/>
      <c r="G49" s="8">
        <f t="shared" si="10"/>
        <v>1250</v>
      </c>
      <c r="H49" s="9">
        <f>85+7.6</f>
        <v>92.6</v>
      </c>
      <c r="I49" s="9"/>
      <c r="J49" s="8">
        <f t="shared" si="9"/>
        <v>92.6</v>
      </c>
      <c r="K49" s="8">
        <f t="shared" si="11"/>
        <v>7.4079999999999995</v>
      </c>
    </row>
    <row r="50" spans="1:11" ht="70.5" customHeight="1">
      <c r="A50" s="37"/>
      <c r="B50" s="10" t="s">
        <v>137</v>
      </c>
      <c r="C50" s="1" t="s">
        <v>138</v>
      </c>
      <c r="D50" s="37"/>
      <c r="E50" s="9">
        <v>92.8</v>
      </c>
      <c r="F50" s="9"/>
      <c r="G50" s="8">
        <f t="shared" si="10"/>
        <v>92.8</v>
      </c>
      <c r="H50" s="9">
        <f>14+9</f>
        <v>23</v>
      </c>
      <c r="I50" s="9"/>
      <c r="J50" s="8">
        <f t="shared" si="9"/>
        <v>23</v>
      </c>
      <c r="K50" s="8">
        <f t="shared" si="11"/>
        <v>24.78448275862069</v>
      </c>
    </row>
    <row r="51" spans="1:11" ht="123" customHeight="1">
      <c r="A51" s="37"/>
      <c r="B51" s="10" t="s">
        <v>47</v>
      </c>
      <c r="C51" s="1" t="s">
        <v>139</v>
      </c>
      <c r="D51" s="37"/>
      <c r="E51" s="9">
        <v>446.3</v>
      </c>
      <c r="F51" s="9"/>
      <c r="G51" s="8">
        <f t="shared" si="10"/>
        <v>446.3</v>
      </c>
      <c r="H51" s="9">
        <v>1.7</v>
      </c>
      <c r="I51" s="9"/>
      <c r="J51" s="8">
        <f t="shared" si="9"/>
        <v>1.7</v>
      </c>
      <c r="K51" s="8">
        <f>J51/G51*100</f>
        <v>0.38090970199417429</v>
      </c>
    </row>
    <row r="52" spans="1:11" ht="66" customHeight="1">
      <c r="A52" s="37"/>
      <c r="B52" s="10" t="s">
        <v>140</v>
      </c>
      <c r="C52" s="1" t="s">
        <v>141</v>
      </c>
      <c r="D52" s="37"/>
      <c r="E52" s="9">
        <v>236.2</v>
      </c>
      <c r="F52" s="9"/>
      <c r="G52" s="8">
        <f t="shared" si="10"/>
        <v>236.2</v>
      </c>
      <c r="H52" s="9">
        <f>19.9+0.11+3.5+3.8+19+3.8</f>
        <v>50.11</v>
      </c>
      <c r="I52" s="9"/>
      <c r="J52" s="8">
        <f t="shared" si="9"/>
        <v>50.11</v>
      </c>
      <c r="K52" s="8">
        <f t="shared" si="11"/>
        <v>21.215071972904319</v>
      </c>
    </row>
    <row r="53" spans="1:11" ht="63" customHeight="1">
      <c r="A53" s="37"/>
      <c r="B53" s="10" t="s">
        <v>70</v>
      </c>
      <c r="C53" s="1" t="s">
        <v>69</v>
      </c>
      <c r="D53" s="37"/>
      <c r="E53" s="9"/>
      <c r="F53" s="9">
        <v>31874.7</v>
      </c>
      <c r="G53" s="8">
        <f t="shared" si="10"/>
        <v>31874.7</v>
      </c>
      <c r="H53" s="9"/>
      <c r="I53" s="9"/>
      <c r="J53" s="8">
        <f t="shared" si="9"/>
        <v>0</v>
      </c>
      <c r="K53" s="8">
        <f t="shared" si="11"/>
        <v>0</v>
      </c>
    </row>
    <row r="54" spans="1:11" ht="79.5" customHeight="1">
      <c r="A54" s="37"/>
      <c r="B54" s="10" t="s">
        <v>48</v>
      </c>
      <c r="C54" s="1" t="s">
        <v>36</v>
      </c>
      <c r="D54" s="37"/>
      <c r="E54" s="9">
        <v>4000</v>
      </c>
      <c r="F54" s="9"/>
      <c r="G54" s="8">
        <f t="shared" si="10"/>
        <v>4000</v>
      </c>
      <c r="H54" s="9">
        <v>394.8</v>
      </c>
      <c r="I54" s="9"/>
      <c r="J54" s="8">
        <f t="shared" si="9"/>
        <v>394.8</v>
      </c>
      <c r="K54" s="8">
        <f t="shared" si="11"/>
        <v>9.8699999999999992</v>
      </c>
    </row>
    <row r="55" spans="1:11" ht="153" customHeight="1">
      <c r="A55" s="38">
        <v>10</v>
      </c>
      <c r="B55" s="1"/>
      <c r="C55" s="29" t="s">
        <v>142</v>
      </c>
      <c r="D55" s="25" t="s">
        <v>13</v>
      </c>
      <c r="E55" s="8">
        <f>SUM(E56)</f>
        <v>1348</v>
      </c>
      <c r="F55" s="8">
        <f>SUM(F56)</f>
        <v>0</v>
      </c>
      <c r="G55" s="8">
        <f t="shared" ref="G55:G62" si="12">E55+F55</f>
        <v>1348</v>
      </c>
      <c r="H55" s="8">
        <f>SUM(H56)</f>
        <v>0</v>
      </c>
      <c r="I55" s="8">
        <f>SUM(I56)</f>
        <v>0</v>
      </c>
      <c r="J55" s="8">
        <f t="shared" ref="J55:J73" si="13">H55+I55</f>
        <v>0</v>
      </c>
      <c r="K55" s="8">
        <f t="shared" ref="K55:K60" si="14">J55/G55*100</f>
        <v>0</v>
      </c>
    </row>
    <row r="56" spans="1:11" ht="58.5" customHeight="1">
      <c r="A56" s="39"/>
      <c r="B56" s="10" t="s">
        <v>143</v>
      </c>
      <c r="C56" s="1" t="s">
        <v>144</v>
      </c>
      <c r="D56" s="12" t="s">
        <v>134</v>
      </c>
      <c r="E56" s="9">
        <v>1348</v>
      </c>
      <c r="F56" s="9"/>
      <c r="G56" s="8">
        <f t="shared" si="12"/>
        <v>1348</v>
      </c>
      <c r="H56" s="9"/>
      <c r="I56" s="9"/>
      <c r="J56" s="8">
        <f t="shared" si="13"/>
        <v>0</v>
      </c>
      <c r="K56" s="8">
        <f t="shared" si="14"/>
        <v>0</v>
      </c>
    </row>
    <row r="57" spans="1:11" ht="158.25" customHeight="1">
      <c r="A57" s="38">
        <v>11</v>
      </c>
      <c r="B57" s="10"/>
      <c r="C57" s="30" t="s">
        <v>169</v>
      </c>
      <c r="D57" s="25" t="s">
        <v>13</v>
      </c>
      <c r="E57" s="8">
        <f>SUM(E58)</f>
        <v>100</v>
      </c>
      <c r="F57" s="8">
        <f>SUM(F58)</f>
        <v>0</v>
      </c>
      <c r="G57" s="8">
        <f t="shared" si="12"/>
        <v>100</v>
      </c>
      <c r="H57" s="8">
        <f>SUM(H58)</f>
        <v>0</v>
      </c>
      <c r="I57" s="8">
        <f>SUM(I58)</f>
        <v>0</v>
      </c>
      <c r="J57" s="8">
        <f t="shared" si="13"/>
        <v>0</v>
      </c>
      <c r="K57" s="8">
        <f t="shared" si="14"/>
        <v>0</v>
      </c>
    </row>
    <row r="58" spans="1:11" ht="60.75" customHeight="1">
      <c r="A58" s="40"/>
      <c r="B58" s="17" t="s">
        <v>170</v>
      </c>
      <c r="C58" s="18" t="s">
        <v>171</v>
      </c>
      <c r="D58" s="1" t="s">
        <v>10</v>
      </c>
      <c r="E58" s="9">
        <v>100</v>
      </c>
      <c r="F58" s="9"/>
      <c r="G58" s="8">
        <f t="shared" si="12"/>
        <v>100</v>
      </c>
      <c r="H58" s="9"/>
      <c r="I58" s="9"/>
      <c r="J58" s="8">
        <f>H58+I58</f>
        <v>0</v>
      </c>
      <c r="K58" s="8">
        <f t="shared" si="14"/>
        <v>0</v>
      </c>
    </row>
    <row r="59" spans="1:11" ht="138.75" customHeight="1">
      <c r="A59" s="37">
        <v>12</v>
      </c>
      <c r="B59" s="10"/>
      <c r="C59" s="27" t="s">
        <v>164</v>
      </c>
      <c r="D59" s="25" t="s">
        <v>13</v>
      </c>
      <c r="E59" s="8">
        <f>SUM(E60)</f>
        <v>14300</v>
      </c>
      <c r="F59" s="8">
        <f>SUM(F60)</f>
        <v>11260</v>
      </c>
      <c r="G59" s="8">
        <f t="shared" si="12"/>
        <v>25560</v>
      </c>
      <c r="H59" s="8">
        <f>SUM(H60)</f>
        <v>3515.1</v>
      </c>
      <c r="I59" s="8">
        <f>SUM(I60)</f>
        <v>109.7</v>
      </c>
      <c r="J59" s="8">
        <f>H59+I59</f>
        <v>3624.7999999999997</v>
      </c>
      <c r="K59" s="8">
        <f t="shared" si="14"/>
        <v>14.181533646322379</v>
      </c>
    </row>
    <row r="60" spans="1:11" ht="68.25" customHeight="1">
      <c r="A60" s="37"/>
      <c r="B60" s="10" t="s">
        <v>49</v>
      </c>
      <c r="C60" s="1" t="s">
        <v>71</v>
      </c>
      <c r="D60" s="1" t="s">
        <v>165</v>
      </c>
      <c r="E60" s="9">
        <f>14000+300</f>
        <v>14300</v>
      </c>
      <c r="F60" s="9">
        <f>1000+10260</f>
        <v>11260</v>
      </c>
      <c r="G60" s="8">
        <f t="shared" si="12"/>
        <v>25560</v>
      </c>
      <c r="H60" s="9">
        <f>3087.6+405+22.5</f>
        <v>3515.1</v>
      </c>
      <c r="I60" s="9">
        <f>109.7</f>
        <v>109.7</v>
      </c>
      <c r="J60" s="8">
        <f>H60+I60</f>
        <v>3624.7999999999997</v>
      </c>
      <c r="K60" s="8">
        <f t="shared" si="14"/>
        <v>14.181533646322379</v>
      </c>
    </row>
    <row r="61" spans="1:11" ht="156" customHeight="1">
      <c r="A61" s="38">
        <v>13</v>
      </c>
      <c r="B61" s="10"/>
      <c r="C61" s="27" t="s">
        <v>163</v>
      </c>
      <c r="D61" s="25" t="s">
        <v>13</v>
      </c>
      <c r="E61" s="8">
        <f>SUM(E62)</f>
        <v>1000</v>
      </c>
      <c r="F61" s="8">
        <f>SUM(F62)</f>
        <v>21000</v>
      </c>
      <c r="G61" s="8">
        <f t="shared" si="12"/>
        <v>22000</v>
      </c>
      <c r="H61" s="8">
        <f>SUM(H62)</f>
        <v>0</v>
      </c>
      <c r="I61" s="8">
        <f>SUM(I62)</f>
        <v>897.3</v>
      </c>
      <c r="J61" s="8">
        <f>H61+I61</f>
        <v>897.3</v>
      </c>
      <c r="K61" s="8">
        <f t="shared" ref="K61:K66" si="15">J61/G61*100</f>
        <v>4.0786363636363632</v>
      </c>
    </row>
    <row r="62" spans="1:11" ht="66" customHeight="1">
      <c r="A62" s="39"/>
      <c r="B62" s="10">
        <v>1617340</v>
      </c>
      <c r="C62" s="1" t="s">
        <v>37</v>
      </c>
      <c r="D62" s="1" t="s">
        <v>20</v>
      </c>
      <c r="E62" s="9">
        <v>1000</v>
      </c>
      <c r="F62" s="9">
        <v>21000</v>
      </c>
      <c r="G62" s="8">
        <f t="shared" si="12"/>
        <v>22000</v>
      </c>
      <c r="H62" s="9"/>
      <c r="I62" s="9">
        <f>897.3</f>
        <v>897.3</v>
      </c>
      <c r="J62" s="8">
        <f t="shared" si="13"/>
        <v>897.3</v>
      </c>
      <c r="K62" s="8">
        <f t="shared" si="15"/>
        <v>4.0786363636363632</v>
      </c>
    </row>
    <row r="63" spans="1:11" ht="139.5" customHeight="1">
      <c r="A63" s="38">
        <v>14</v>
      </c>
      <c r="B63" s="1"/>
      <c r="C63" s="27" t="s">
        <v>166</v>
      </c>
      <c r="D63" s="25" t="s">
        <v>13</v>
      </c>
      <c r="E63" s="8">
        <f>SUM(E64+E65+E66)</f>
        <v>6279.1</v>
      </c>
      <c r="F63" s="8">
        <f>SUM(F64+F65+F66)</f>
        <v>5420.9</v>
      </c>
      <c r="G63" s="8">
        <f>SUM(E63+F63)</f>
        <v>11700</v>
      </c>
      <c r="H63" s="8">
        <f>SUM(H64+H65+H66)</f>
        <v>0</v>
      </c>
      <c r="I63" s="8">
        <f>SUM(I64+I65+I66)</f>
        <v>0</v>
      </c>
      <c r="J63" s="8">
        <f t="shared" si="13"/>
        <v>0</v>
      </c>
      <c r="K63" s="8">
        <f t="shared" si="15"/>
        <v>0</v>
      </c>
    </row>
    <row r="64" spans="1:11" ht="62.25" customHeight="1">
      <c r="A64" s="39"/>
      <c r="B64" s="10" t="s">
        <v>72</v>
      </c>
      <c r="C64" s="19" t="s">
        <v>38</v>
      </c>
      <c r="D64" s="42" t="s">
        <v>20</v>
      </c>
      <c r="E64" s="9"/>
      <c r="F64" s="9">
        <v>1320.9</v>
      </c>
      <c r="G64" s="8">
        <f t="shared" ref="G64:G72" si="16">E64+F64</f>
        <v>1320.9</v>
      </c>
      <c r="H64" s="9"/>
      <c r="I64" s="9"/>
      <c r="J64" s="8">
        <f t="shared" si="13"/>
        <v>0</v>
      </c>
      <c r="K64" s="8">
        <f t="shared" si="15"/>
        <v>0</v>
      </c>
    </row>
    <row r="65" spans="1:11" ht="60" customHeight="1">
      <c r="A65" s="39"/>
      <c r="B65" s="17" t="s">
        <v>167</v>
      </c>
      <c r="C65" s="20" t="s">
        <v>168</v>
      </c>
      <c r="D65" s="43"/>
      <c r="E65" s="9">
        <v>6279.1</v>
      </c>
      <c r="F65" s="9">
        <v>100</v>
      </c>
      <c r="G65" s="8">
        <f t="shared" si="16"/>
        <v>6379.1</v>
      </c>
      <c r="H65" s="9"/>
      <c r="I65" s="9"/>
      <c r="J65" s="8">
        <f t="shared" si="13"/>
        <v>0</v>
      </c>
      <c r="K65" s="8">
        <f>J65/G65*100</f>
        <v>0</v>
      </c>
    </row>
    <row r="66" spans="1:11" ht="60.75" customHeight="1">
      <c r="A66" s="40"/>
      <c r="B66" s="10">
        <v>1619770</v>
      </c>
      <c r="C66" s="20" t="s">
        <v>35</v>
      </c>
      <c r="D66" s="44"/>
      <c r="E66" s="9"/>
      <c r="F66" s="9">
        <v>4000</v>
      </c>
      <c r="G66" s="8">
        <f t="shared" si="16"/>
        <v>4000</v>
      </c>
      <c r="H66" s="9"/>
      <c r="I66" s="9"/>
      <c r="J66" s="8">
        <f t="shared" si="13"/>
        <v>0</v>
      </c>
      <c r="K66" s="8">
        <f t="shared" si="15"/>
        <v>0</v>
      </c>
    </row>
    <row r="67" spans="1:11" ht="129.75" customHeight="1">
      <c r="A67" s="38">
        <v>15</v>
      </c>
      <c r="B67" s="10"/>
      <c r="C67" s="27" t="s">
        <v>162</v>
      </c>
      <c r="D67" s="25" t="s">
        <v>13</v>
      </c>
      <c r="E67" s="8">
        <f>E68+E69</f>
        <v>2785</v>
      </c>
      <c r="F67" s="8">
        <f>F68+F69</f>
        <v>1788</v>
      </c>
      <c r="G67" s="8">
        <f t="shared" si="16"/>
        <v>4573</v>
      </c>
      <c r="H67" s="8">
        <f>H68+H69</f>
        <v>200</v>
      </c>
      <c r="I67" s="8">
        <f>I68+I69</f>
        <v>408</v>
      </c>
      <c r="J67" s="8">
        <f t="shared" si="13"/>
        <v>608</v>
      </c>
      <c r="K67" s="8">
        <f t="shared" ref="K67:K72" si="17">J67/G67*100</f>
        <v>13.295429696041985</v>
      </c>
    </row>
    <row r="68" spans="1:11" ht="83.25" customHeight="1">
      <c r="A68" s="39"/>
      <c r="B68" s="10">
        <v>1618821</v>
      </c>
      <c r="C68" s="1" t="s">
        <v>73</v>
      </c>
      <c r="D68" s="37" t="s">
        <v>20</v>
      </c>
      <c r="E68" s="9">
        <v>1100</v>
      </c>
      <c r="F68" s="9">
        <v>580</v>
      </c>
      <c r="G68" s="8">
        <f t="shared" si="16"/>
        <v>1680</v>
      </c>
      <c r="H68" s="9"/>
      <c r="I68" s="9"/>
      <c r="J68" s="8">
        <f t="shared" si="13"/>
        <v>0</v>
      </c>
      <c r="K68" s="8">
        <f t="shared" si="17"/>
        <v>0</v>
      </c>
    </row>
    <row r="69" spans="1:11" ht="68.25" customHeight="1">
      <c r="A69" s="40"/>
      <c r="B69" s="10">
        <v>1618831</v>
      </c>
      <c r="C69" s="1" t="s">
        <v>74</v>
      </c>
      <c r="D69" s="37"/>
      <c r="E69" s="9">
        <v>1685</v>
      </c>
      <c r="F69" s="9">
        <v>1208</v>
      </c>
      <c r="G69" s="8">
        <f t="shared" si="16"/>
        <v>2893</v>
      </c>
      <c r="H69" s="9">
        <v>200</v>
      </c>
      <c r="I69" s="9">
        <f>250+158</f>
        <v>408</v>
      </c>
      <c r="J69" s="8">
        <f t="shared" si="13"/>
        <v>608</v>
      </c>
      <c r="K69" s="8">
        <f t="shared" si="17"/>
        <v>21.016246111303147</v>
      </c>
    </row>
    <row r="70" spans="1:11" ht="130.5" customHeight="1">
      <c r="A70" s="38">
        <v>16</v>
      </c>
      <c r="B70" s="10"/>
      <c r="C70" s="27" t="s">
        <v>161</v>
      </c>
      <c r="D70" s="25" t="s">
        <v>13</v>
      </c>
      <c r="E70" s="8">
        <f>SUM(E71+E72)+E73+E74</f>
        <v>107417.5616</v>
      </c>
      <c r="F70" s="8">
        <f>SUM(F71+F72)+F73+F74</f>
        <v>12577.252990000001</v>
      </c>
      <c r="G70" s="8">
        <f>E70+F70</f>
        <v>119994.81458999999</v>
      </c>
      <c r="H70" s="8">
        <f>SUM(H71+H72)+H73+H74</f>
        <v>8244</v>
      </c>
      <c r="I70" s="8">
        <f>SUM(I71+I72)+I73+I74</f>
        <v>1000</v>
      </c>
      <c r="J70" s="8">
        <f>H70+I70</f>
        <v>9244</v>
      </c>
      <c r="K70" s="8">
        <f t="shared" si="17"/>
        <v>7.7036662222322123</v>
      </c>
    </row>
    <row r="71" spans="1:11" ht="81" customHeight="1">
      <c r="A71" s="39"/>
      <c r="B71" s="10" t="s">
        <v>53</v>
      </c>
      <c r="C71" s="1" t="s">
        <v>83</v>
      </c>
      <c r="D71" s="38" t="s">
        <v>21</v>
      </c>
      <c r="E71" s="9">
        <v>3117.5616</v>
      </c>
      <c r="F71" s="9">
        <v>6877.25299</v>
      </c>
      <c r="G71" s="8">
        <f t="shared" si="16"/>
        <v>9994.81459</v>
      </c>
      <c r="H71" s="8"/>
      <c r="I71" s="9"/>
      <c r="J71" s="8">
        <f>H71+I71</f>
        <v>0</v>
      </c>
      <c r="K71" s="8">
        <f t="shared" si="17"/>
        <v>0</v>
      </c>
    </row>
    <row r="72" spans="1:11" ht="71.25" customHeight="1">
      <c r="A72" s="39"/>
      <c r="B72" s="10" t="s">
        <v>52</v>
      </c>
      <c r="C72" s="12" t="s">
        <v>75</v>
      </c>
      <c r="D72" s="39"/>
      <c r="E72" s="9">
        <f>200000-90000-5700-35287-3500</f>
        <v>65513</v>
      </c>
      <c r="F72" s="9">
        <v>5700</v>
      </c>
      <c r="G72" s="8">
        <f t="shared" si="16"/>
        <v>71213</v>
      </c>
      <c r="H72" s="9">
        <f>3200+4600</f>
        <v>7800</v>
      </c>
      <c r="I72" s="9">
        <v>1000</v>
      </c>
      <c r="J72" s="8">
        <f>H72+I72</f>
        <v>8800</v>
      </c>
      <c r="K72" s="8">
        <f t="shared" si="17"/>
        <v>12.357294314240377</v>
      </c>
    </row>
    <row r="73" spans="1:11" ht="134.25" customHeight="1">
      <c r="A73" s="15"/>
      <c r="B73" s="34" t="s">
        <v>55</v>
      </c>
      <c r="C73" s="35" t="s">
        <v>182</v>
      </c>
      <c r="D73" s="41"/>
      <c r="E73" s="9">
        <v>35287</v>
      </c>
      <c r="F73" s="9"/>
      <c r="G73" s="8">
        <f>E73+F73</f>
        <v>35287</v>
      </c>
      <c r="H73" s="9">
        <v>444</v>
      </c>
      <c r="I73" s="9"/>
      <c r="J73" s="8">
        <f t="shared" si="13"/>
        <v>444</v>
      </c>
      <c r="K73" s="8">
        <f>J73/G73*100</f>
        <v>1.2582537478391476</v>
      </c>
    </row>
    <row r="74" spans="1:11" ht="46.5" customHeight="1">
      <c r="A74" s="15"/>
      <c r="B74" s="10" t="s">
        <v>56</v>
      </c>
      <c r="C74" s="36" t="s">
        <v>183</v>
      </c>
      <c r="D74" s="39"/>
      <c r="E74" s="9">
        <v>3500</v>
      </c>
      <c r="F74" s="9"/>
      <c r="G74" s="8">
        <f>E74+F74</f>
        <v>3500</v>
      </c>
      <c r="H74" s="9"/>
      <c r="I74" s="9"/>
      <c r="J74" s="8">
        <f>H74+I74</f>
        <v>0</v>
      </c>
      <c r="K74" s="8">
        <f>J74/G74*100</f>
        <v>0</v>
      </c>
    </row>
    <row r="75" spans="1:11" ht="140.25" customHeight="1">
      <c r="A75" s="38">
        <v>17</v>
      </c>
      <c r="B75" s="10"/>
      <c r="C75" s="27" t="s">
        <v>159</v>
      </c>
      <c r="D75" s="25" t="s">
        <v>13</v>
      </c>
      <c r="E75" s="8">
        <f>SUM(E76)</f>
        <v>2500</v>
      </c>
      <c r="F75" s="8">
        <f>SUM(F76)</f>
        <v>0</v>
      </c>
      <c r="G75" s="8">
        <f t="shared" ref="G75:G88" si="18">E75+F75</f>
        <v>2500</v>
      </c>
      <c r="H75" s="8">
        <f>SUM(H76)</f>
        <v>0</v>
      </c>
      <c r="I75" s="8">
        <f>SUM(I76)</f>
        <v>0</v>
      </c>
      <c r="J75" s="8">
        <f t="shared" ref="J75:J100" si="19">H75+I75</f>
        <v>0</v>
      </c>
      <c r="K75" s="8">
        <f t="shared" ref="K75:K93" si="20">J75/G75*100</f>
        <v>0</v>
      </c>
    </row>
    <row r="76" spans="1:11" ht="90.75" customHeight="1">
      <c r="A76" s="40"/>
      <c r="B76" s="10" t="s">
        <v>177</v>
      </c>
      <c r="C76" s="1" t="s">
        <v>160</v>
      </c>
      <c r="D76" s="12" t="s">
        <v>134</v>
      </c>
      <c r="E76" s="9">
        <v>2500</v>
      </c>
      <c r="F76" s="9"/>
      <c r="G76" s="8">
        <f t="shared" si="18"/>
        <v>2500</v>
      </c>
      <c r="H76" s="9"/>
      <c r="I76" s="9"/>
      <c r="J76" s="8">
        <f t="shared" si="19"/>
        <v>0</v>
      </c>
      <c r="K76" s="8">
        <f t="shared" si="20"/>
        <v>0</v>
      </c>
    </row>
    <row r="77" spans="1:11" ht="151.5" customHeight="1">
      <c r="A77" s="38">
        <v>18</v>
      </c>
      <c r="B77" s="10"/>
      <c r="C77" s="31" t="s">
        <v>172</v>
      </c>
      <c r="D77" s="25" t="s">
        <v>13</v>
      </c>
      <c r="E77" s="8">
        <f>SUM(E78+E79)+E80</f>
        <v>17000</v>
      </c>
      <c r="F77" s="8">
        <f>SUM(F78+F79)+F80</f>
        <v>3328</v>
      </c>
      <c r="G77" s="8">
        <f>E77+F77</f>
        <v>20328</v>
      </c>
      <c r="H77" s="8">
        <f>SUM(H78+H79)+H80</f>
        <v>447.7</v>
      </c>
      <c r="I77" s="8">
        <f>SUM(I78+I79)+I80</f>
        <v>0</v>
      </c>
      <c r="J77" s="8">
        <f>H77+I77</f>
        <v>447.7</v>
      </c>
      <c r="K77" s="8">
        <f>J77/G77*100</f>
        <v>2.2023809523809521</v>
      </c>
    </row>
    <row r="78" spans="1:11" ht="62.25" customHeight="1">
      <c r="A78" s="39"/>
      <c r="B78" s="10">
        <v>2417110</v>
      </c>
      <c r="C78" s="9" t="s">
        <v>173</v>
      </c>
      <c r="D78" s="37" t="s">
        <v>22</v>
      </c>
      <c r="E78" s="9">
        <f>17000-9000</f>
        <v>8000</v>
      </c>
      <c r="F78" s="8"/>
      <c r="G78" s="8">
        <f t="shared" si="18"/>
        <v>8000</v>
      </c>
      <c r="H78" s="8">
        <v>58.2</v>
      </c>
      <c r="I78" s="8"/>
      <c r="J78" s="8">
        <f>H78+I78</f>
        <v>58.2</v>
      </c>
      <c r="K78" s="8">
        <f>J78/G78*100</f>
        <v>0.72750000000000004</v>
      </c>
    </row>
    <row r="79" spans="1:11" ht="75.75" customHeight="1">
      <c r="A79" s="40"/>
      <c r="B79" s="17">
        <v>2419770</v>
      </c>
      <c r="C79" s="20" t="s">
        <v>35</v>
      </c>
      <c r="D79" s="37"/>
      <c r="E79" s="8"/>
      <c r="F79" s="9">
        <v>3328</v>
      </c>
      <c r="G79" s="8">
        <f t="shared" si="18"/>
        <v>3328</v>
      </c>
      <c r="H79" s="8"/>
      <c r="I79" s="8"/>
      <c r="J79" s="8">
        <f>H79+I79</f>
        <v>0</v>
      </c>
      <c r="K79" s="8">
        <f>J79/G79*100</f>
        <v>0</v>
      </c>
    </row>
    <row r="80" spans="1:11" ht="64.5" customHeight="1">
      <c r="A80" s="33"/>
      <c r="B80" s="17" t="s">
        <v>178</v>
      </c>
      <c r="C80" s="20" t="s">
        <v>179</v>
      </c>
      <c r="D80" s="37"/>
      <c r="E80" s="9">
        <v>9000</v>
      </c>
      <c r="F80" s="9"/>
      <c r="G80" s="8">
        <f t="shared" si="18"/>
        <v>9000</v>
      </c>
      <c r="H80" s="9">
        <v>389.5</v>
      </c>
      <c r="I80" s="8"/>
      <c r="J80" s="8">
        <f>H80+I80</f>
        <v>389.5</v>
      </c>
      <c r="K80" s="8">
        <f>J80/G80*100</f>
        <v>4.3277777777777775</v>
      </c>
    </row>
    <row r="81" spans="1:11" ht="153.75" customHeight="1">
      <c r="A81" s="38">
        <v>19</v>
      </c>
      <c r="B81" s="10"/>
      <c r="C81" s="27" t="s">
        <v>156</v>
      </c>
      <c r="D81" s="25" t="s">
        <v>13</v>
      </c>
      <c r="E81" s="8">
        <f>SUM(E82+E83+E84)</f>
        <v>8977</v>
      </c>
      <c r="F81" s="8">
        <f>SUM(F82+F83+F84)</f>
        <v>16023</v>
      </c>
      <c r="G81" s="8">
        <f t="shared" si="18"/>
        <v>25000</v>
      </c>
      <c r="H81" s="8">
        <f>SUM(H82+H83+H84)</f>
        <v>165.8</v>
      </c>
      <c r="I81" s="8">
        <f>SUM(I82+I83+I84)</f>
        <v>0</v>
      </c>
      <c r="J81" s="8">
        <f t="shared" si="19"/>
        <v>165.8</v>
      </c>
      <c r="K81" s="8">
        <f t="shared" si="20"/>
        <v>0.66320000000000012</v>
      </c>
    </row>
    <row r="82" spans="1:11" ht="72" customHeight="1">
      <c r="A82" s="39"/>
      <c r="B82" s="10" t="s">
        <v>50</v>
      </c>
      <c r="C82" s="1" t="s">
        <v>76</v>
      </c>
      <c r="D82" s="38" t="s">
        <v>23</v>
      </c>
      <c r="E82" s="9">
        <f>2000+6691.5</f>
        <v>8691.5</v>
      </c>
      <c r="F82" s="9">
        <v>2700</v>
      </c>
      <c r="G82" s="8">
        <f t="shared" si="18"/>
        <v>11391.5</v>
      </c>
      <c r="H82" s="9">
        <f>161.3+2+2.5</f>
        <v>165.8</v>
      </c>
      <c r="I82" s="9"/>
      <c r="J82" s="8">
        <f t="shared" si="19"/>
        <v>165.8</v>
      </c>
      <c r="K82" s="8">
        <f t="shared" si="20"/>
        <v>1.4554711846552255</v>
      </c>
    </row>
    <row r="83" spans="1:11" ht="77.25" customHeight="1">
      <c r="A83" s="39"/>
      <c r="B83" s="10" t="s">
        <v>84</v>
      </c>
      <c r="C83" s="1" t="s">
        <v>35</v>
      </c>
      <c r="D83" s="39"/>
      <c r="E83" s="9">
        <v>184</v>
      </c>
      <c r="F83" s="9">
        <v>4100</v>
      </c>
      <c r="G83" s="8">
        <f t="shared" si="18"/>
        <v>4284</v>
      </c>
      <c r="H83" s="9"/>
      <c r="I83" s="9"/>
      <c r="J83" s="8">
        <f>H83+I83</f>
        <v>0</v>
      </c>
      <c r="K83" s="8">
        <f t="shared" si="20"/>
        <v>0</v>
      </c>
    </row>
    <row r="84" spans="1:11" ht="57.75" customHeight="1">
      <c r="A84" s="40"/>
      <c r="B84" s="10" t="s">
        <v>157</v>
      </c>
      <c r="C84" s="1" t="s">
        <v>158</v>
      </c>
      <c r="D84" s="40"/>
      <c r="E84" s="9">
        <v>101.5</v>
      </c>
      <c r="F84" s="9">
        <v>9223</v>
      </c>
      <c r="G84" s="8">
        <f t="shared" si="18"/>
        <v>9324.5</v>
      </c>
      <c r="H84" s="9"/>
      <c r="I84" s="9"/>
      <c r="J84" s="8">
        <f>H84+I84</f>
        <v>0</v>
      </c>
      <c r="K84" s="8">
        <f t="shared" si="20"/>
        <v>0</v>
      </c>
    </row>
    <row r="85" spans="1:11" ht="127.5" customHeight="1">
      <c r="A85" s="37">
        <v>20</v>
      </c>
      <c r="B85" s="1"/>
      <c r="C85" s="27" t="s">
        <v>153</v>
      </c>
      <c r="D85" s="25" t="s">
        <v>13</v>
      </c>
      <c r="E85" s="8">
        <f>SUM(E86+E87+E88)</f>
        <v>1810</v>
      </c>
      <c r="F85" s="8">
        <f>SUM(F86+F87+F88)</f>
        <v>1190</v>
      </c>
      <c r="G85" s="8">
        <f t="shared" si="18"/>
        <v>3000</v>
      </c>
      <c r="H85" s="8">
        <f>SUM(H86+H87+H88)</f>
        <v>69.5</v>
      </c>
      <c r="I85" s="8">
        <f>SUM(I86+I87+I88)</f>
        <v>0</v>
      </c>
      <c r="J85" s="8">
        <f t="shared" si="19"/>
        <v>69.5</v>
      </c>
      <c r="K85" s="8">
        <f t="shared" si="20"/>
        <v>2.3166666666666664</v>
      </c>
    </row>
    <row r="86" spans="1:11" ht="64.5" customHeight="1">
      <c r="A86" s="37"/>
      <c r="B86" s="10">
        <v>2617622</v>
      </c>
      <c r="C86" s="1" t="s">
        <v>77</v>
      </c>
      <c r="D86" s="38" t="s">
        <v>24</v>
      </c>
      <c r="E86" s="9">
        <v>1810</v>
      </c>
      <c r="F86" s="8"/>
      <c r="G86" s="8">
        <f t="shared" si="18"/>
        <v>1810</v>
      </c>
      <c r="H86" s="9">
        <f>67.5+2</f>
        <v>69.5</v>
      </c>
      <c r="I86" s="8"/>
      <c r="J86" s="8">
        <f t="shared" si="19"/>
        <v>69.5</v>
      </c>
      <c r="K86" s="8">
        <f t="shared" si="20"/>
        <v>3.839779005524862</v>
      </c>
    </row>
    <row r="87" spans="1:11" ht="76.5" customHeight="1">
      <c r="A87" s="37"/>
      <c r="B87" s="10" t="s">
        <v>154</v>
      </c>
      <c r="C87" s="18" t="s">
        <v>155</v>
      </c>
      <c r="D87" s="39"/>
      <c r="E87" s="9"/>
      <c r="F87" s="9">
        <v>590</v>
      </c>
      <c r="G87" s="8">
        <f t="shared" si="18"/>
        <v>590</v>
      </c>
      <c r="H87" s="9"/>
      <c r="I87" s="9"/>
      <c r="J87" s="8">
        <f t="shared" si="19"/>
        <v>0</v>
      </c>
      <c r="K87" s="8">
        <f t="shared" si="20"/>
        <v>0</v>
      </c>
    </row>
    <row r="88" spans="1:11" ht="46.5" customHeight="1">
      <c r="A88" s="37"/>
      <c r="B88" s="10" t="s">
        <v>51</v>
      </c>
      <c r="C88" s="1" t="s">
        <v>35</v>
      </c>
      <c r="D88" s="40"/>
      <c r="E88" s="9"/>
      <c r="F88" s="9">
        <v>600</v>
      </c>
      <c r="G88" s="8">
        <f t="shared" si="18"/>
        <v>600</v>
      </c>
      <c r="H88" s="9"/>
      <c r="I88" s="9"/>
      <c r="J88" s="8">
        <f t="shared" si="19"/>
        <v>0</v>
      </c>
      <c r="K88" s="8">
        <f t="shared" si="20"/>
        <v>0</v>
      </c>
    </row>
    <row r="89" spans="1:11" ht="138.75" customHeight="1">
      <c r="A89" s="38">
        <v>21</v>
      </c>
      <c r="B89" s="10"/>
      <c r="C89" s="27" t="s">
        <v>78</v>
      </c>
      <c r="D89" s="25" t="s">
        <v>13</v>
      </c>
      <c r="E89" s="8">
        <f>SUM(E90)</f>
        <v>2000</v>
      </c>
      <c r="F89" s="8">
        <f>SUM(F90)</f>
        <v>0</v>
      </c>
      <c r="G89" s="8">
        <f>SUM(E89+F89)</f>
        <v>2000</v>
      </c>
      <c r="H89" s="8">
        <f>SUM(H90)</f>
        <v>0</v>
      </c>
      <c r="I89" s="8">
        <f>SUM(I90)</f>
        <v>0</v>
      </c>
      <c r="J89" s="8">
        <f>H89+I89</f>
        <v>0</v>
      </c>
      <c r="K89" s="8">
        <f>J89/G89*100</f>
        <v>0</v>
      </c>
    </row>
    <row r="90" spans="1:11" ht="58.5" customHeight="1">
      <c r="A90" s="40"/>
      <c r="B90" s="10">
        <v>2717150</v>
      </c>
      <c r="C90" s="1" t="s">
        <v>79</v>
      </c>
      <c r="D90" s="1" t="s">
        <v>25</v>
      </c>
      <c r="E90" s="9">
        <v>2000</v>
      </c>
      <c r="F90" s="9"/>
      <c r="G90" s="8">
        <f>E90+F90</f>
        <v>2000</v>
      </c>
      <c r="H90" s="9"/>
      <c r="I90" s="9"/>
      <c r="J90" s="8">
        <f>H90+I90</f>
        <v>0</v>
      </c>
      <c r="K90" s="8">
        <f t="shared" si="20"/>
        <v>0</v>
      </c>
    </row>
    <row r="91" spans="1:11" ht="133.5" customHeight="1">
      <c r="A91" s="38">
        <v>22</v>
      </c>
      <c r="B91" s="10"/>
      <c r="C91" s="27" t="s">
        <v>152</v>
      </c>
      <c r="D91" s="25" t="s">
        <v>13</v>
      </c>
      <c r="E91" s="32">
        <f>SUM(E92)</f>
        <v>17640</v>
      </c>
      <c r="F91" s="8">
        <f>SUM(F92)</f>
        <v>360</v>
      </c>
      <c r="G91" s="8">
        <f>SUM(E91+F91)</f>
        <v>18000</v>
      </c>
      <c r="H91" s="8">
        <v>494.1</v>
      </c>
      <c r="I91" s="32">
        <f>SUM(I92)</f>
        <v>0</v>
      </c>
      <c r="J91" s="8">
        <f>H91+I91</f>
        <v>494.1</v>
      </c>
      <c r="K91" s="8">
        <f t="shared" si="20"/>
        <v>2.7450000000000001</v>
      </c>
    </row>
    <row r="92" spans="1:11" ht="68.25" customHeight="1">
      <c r="A92" s="40"/>
      <c r="B92" s="10">
        <v>2717693</v>
      </c>
      <c r="C92" s="9" t="s">
        <v>150</v>
      </c>
      <c r="D92" s="1" t="s">
        <v>25</v>
      </c>
      <c r="E92" s="9">
        <v>17640</v>
      </c>
      <c r="F92" s="9">
        <v>360</v>
      </c>
      <c r="G92" s="8">
        <f>E92+F92</f>
        <v>18000</v>
      </c>
      <c r="H92" s="9"/>
      <c r="I92" s="9"/>
      <c r="J92" s="8">
        <f>H92+I92</f>
        <v>0</v>
      </c>
      <c r="K92" s="8">
        <f t="shared" si="20"/>
        <v>0</v>
      </c>
    </row>
    <row r="93" spans="1:11" ht="129" customHeight="1">
      <c r="A93" s="38">
        <v>23</v>
      </c>
      <c r="B93" s="10"/>
      <c r="C93" s="27" t="s">
        <v>151</v>
      </c>
      <c r="D93" s="25" t="s">
        <v>13</v>
      </c>
      <c r="E93" s="8">
        <f>SUM(E94+E95)</f>
        <v>1953.4</v>
      </c>
      <c r="F93" s="8">
        <f>SUM(F94+F95)</f>
        <v>33240.699999999997</v>
      </c>
      <c r="G93" s="8">
        <f>E93+F93</f>
        <v>35194.1</v>
      </c>
      <c r="H93" s="8">
        <f>SUM(H94+H95)</f>
        <v>579</v>
      </c>
      <c r="I93" s="8">
        <f>SUM(I94+I95)</f>
        <v>0</v>
      </c>
      <c r="J93" s="8">
        <f>H93+I93</f>
        <v>579</v>
      </c>
      <c r="K93" s="8">
        <f t="shared" si="20"/>
        <v>1.6451621152409068</v>
      </c>
    </row>
    <row r="94" spans="1:11" ht="54" customHeight="1">
      <c r="A94" s="39"/>
      <c r="B94" s="10" t="s">
        <v>80</v>
      </c>
      <c r="C94" s="1" t="s">
        <v>39</v>
      </c>
      <c r="D94" s="38" t="s">
        <v>26</v>
      </c>
      <c r="E94" s="9">
        <v>1953.4</v>
      </c>
      <c r="F94" s="9"/>
      <c r="G94" s="8">
        <f>E94+F94</f>
        <v>1953.4</v>
      </c>
      <c r="H94" s="9">
        <f>268.3+10.3+138.9+25.7+51.3+84.5</f>
        <v>579</v>
      </c>
      <c r="I94" s="9"/>
      <c r="J94" s="8">
        <f t="shared" si="19"/>
        <v>579</v>
      </c>
      <c r="K94" s="8">
        <f>J94/G94*100</f>
        <v>29.640626599774748</v>
      </c>
    </row>
    <row r="95" spans="1:11" ht="57.75" customHeight="1">
      <c r="A95" s="40"/>
      <c r="B95" s="10">
        <v>2818340</v>
      </c>
      <c r="C95" s="1" t="s">
        <v>40</v>
      </c>
      <c r="D95" s="40"/>
      <c r="E95" s="9"/>
      <c r="F95" s="9">
        <v>33240.699999999997</v>
      </c>
      <c r="G95" s="8">
        <f>E95+F95</f>
        <v>33240.699999999997</v>
      </c>
      <c r="H95" s="9"/>
      <c r="I95" s="9"/>
      <c r="J95" s="8">
        <f t="shared" si="19"/>
        <v>0</v>
      </c>
      <c r="K95" s="8">
        <f>J95/G95*100</f>
        <v>0</v>
      </c>
    </row>
    <row r="96" spans="1:11" ht="134.25" customHeight="1">
      <c r="A96" s="37">
        <v>24</v>
      </c>
      <c r="B96" s="10"/>
      <c r="C96" s="27" t="s">
        <v>147</v>
      </c>
      <c r="D96" s="25" t="s">
        <v>13</v>
      </c>
      <c r="E96" s="8">
        <f>E97+E98+E101+E100+E99</f>
        <v>21211.4</v>
      </c>
      <c r="F96" s="8">
        <f>F97+F98+F101+F100+F99</f>
        <v>18183</v>
      </c>
      <c r="G96" s="8">
        <f>E96+F96</f>
        <v>39394.400000000001</v>
      </c>
      <c r="H96" s="8">
        <f>H97+H98+H101+H100+H99</f>
        <v>11865.099999999999</v>
      </c>
      <c r="I96" s="8">
        <f>I97+I98+I101+I100+I99</f>
        <v>8500.7000000000007</v>
      </c>
      <c r="J96" s="8">
        <f t="shared" si="19"/>
        <v>20365.8</v>
      </c>
      <c r="K96" s="8">
        <f t="shared" ref="K96:K107" si="21">J96/G96*100</f>
        <v>51.697195540482909</v>
      </c>
    </row>
    <row r="97" spans="1:11" ht="72" customHeight="1">
      <c r="A97" s="37"/>
      <c r="B97" s="10">
        <v>2918110</v>
      </c>
      <c r="C97" s="9" t="s">
        <v>148</v>
      </c>
      <c r="D97" s="38" t="s">
        <v>27</v>
      </c>
      <c r="E97" s="9">
        <v>1800</v>
      </c>
      <c r="F97" s="9"/>
      <c r="G97" s="8">
        <f t="shared" ref="G97:G103" si="22">E97+F97</f>
        <v>1800</v>
      </c>
      <c r="H97" s="9"/>
      <c r="I97" s="9"/>
      <c r="J97" s="8">
        <f t="shared" si="19"/>
        <v>0</v>
      </c>
      <c r="K97" s="8">
        <f t="shared" si="21"/>
        <v>0</v>
      </c>
    </row>
    <row r="98" spans="1:11" ht="48" customHeight="1">
      <c r="A98" s="37"/>
      <c r="B98" s="10">
        <v>2918120</v>
      </c>
      <c r="C98" s="9" t="s">
        <v>41</v>
      </c>
      <c r="D98" s="39"/>
      <c r="E98" s="9">
        <v>8700</v>
      </c>
      <c r="F98" s="9"/>
      <c r="G98" s="8">
        <f t="shared" si="22"/>
        <v>8700</v>
      </c>
      <c r="H98" s="9">
        <f>1472.8+381.4+386.2+2.2+363.5</f>
        <v>2606.0999999999995</v>
      </c>
      <c r="I98" s="9"/>
      <c r="J98" s="8">
        <f t="shared" si="19"/>
        <v>2606.0999999999995</v>
      </c>
      <c r="K98" s="8">
        <f t="shared" si="21"/>
        <v>29.955172413793097</v>
      </c>
    </row>
    <row r="99" spans="1:11" ht="49.5" customHeight="1">
      <c r="A99" s="37"/>
      <c r="B99" s="21" t="s">
        <v>81</v>
      </c>
      <c r="C99" s="22" t="s">
        <v>82</v>
      </c>
      <c r="D99" s="39"/>
      <c r="E99" s="9">
        <v>300</v>
      </c>
      <c r="F99" s="9"/>
      <c r="G99" s="8">
        <f t="shared" si="22"/>
        <v>300</v>
      </c>
      <c r="H99" s="9"/>
      <c r="I99" s="9"/>
      <c r="J99" s="8">
        <f t="shared" si="19"/>
        <v>0</v>
      </c>
      <c r="K99" s="8">
        <f t="shared" si="21"/>
        <v>0</v>
      </c>
    </row>
    <row r="100" spans="1:11" ht="52.5" customHeight="1">
      <c r="A100" s="37"/>
      <c r="B100" s="10" t="s">
        <v>149</v>
      </c>
      <c r="C100" s="23" t="s">
        <v>35</v>
      </c>
      <c r="D100" s="39"/>
      <c r="E100" s="9"/>
      <c r="F100" s="9">
        <v>1500</v>
      </c>
      <c r="G100" s="8">
        <f t="shared" si="22"/>
        <v>1500</v>
      </c>
      <c r="H100" s="9"/>
      <c r="I100" s="9"/>
      <c r="J100" s="8">
        <f t="shared" si="19"/>
        <v>0</v>
      </c>
      <c r="K100" s="8">
        <f t="shared" si="21"/>
        <v>0</v>
      </c>
    </row>
    <row r="101" spans="1:11" ht="80.25" customHeight="1">
      <c r="A101" s="37"/>
      <c r="B101" s="17">
        <v>2919800</v>
      </c>
      <c r="C101" s="1" t="s">
        <v>85</v>
      </c>
      <c r="D101" s="40"/>
      <c r="E101" s="9">
        <v>10411.4</v>
      </c>
      <c r="F101" s="9">
        <v>16683</v>
      </c>
      <c r="G101" s="8">
        <f t="shared" si="22"/>
        <v>27094.400000000001</v>
      </c>
      <c r="H101" s="9">
        <f>1359+5900+2000</f>
        <v>9259</v>
      </c>
      <c r="I101" s="9">
        <f>5000+3500.7</f>
        <v>8500.7000000000007</v>
      </c>
      <c r="J101" s="8">
        <f t="shared" ref="J101:J108" si="23">H101+I101</f>
        <v>17759.7</v>
      </c>
      <c r="K101" s="8">
        <f t="shared" si="21"/>
        <v>65.547493208928785</v>
      </c>
    </row>
    <row r="102" spans="1:11" ht="137.25" customHeight="1">
      <c r="A102" s="37">
        <v>25</v>
      </c>
      <c r="B102" s="1"/>
      <c r="C102" s="30" t="s">
        <v>174</v>
      </c>
      <c r="D102" s="25" t="s">
        <v>13</v>
      </c>
      <c r="E102" s="8">
        <f>SUM(E103)</f>
        <v>2500</v>
      </c>
      <c r="F102" s="8">
        <f>SUM(F103)</f>
        <v>2500</v>
      </c>
      <c r="G102" s="8">
        <f t="shared" si="22"/>
        <v>5000</v>
      </c>
      <c r="H102" s="8">
        <f>SUM(H103)</f>
        <v>0</v>
      </c>
      <c r="I102" s="8">
        <f>SUM(I103)</f>
        <v>0</v>
      </c>
      <c r="J102" s="8">
        <f t="shared" si="23"/>
        <v>0</v>
      </c>
      <c r="K102" s="8">
        <f t="shared" si="21"/>
        <v>0</v>
      </c>
    </row>
    <row r="103" spans="1:11" ht="58.5" customHeight="1">
      <c r="A103" s="37"/>
      <c r="B103" s="10" t="s">
        <v>175</v>
      </c>
      <c r="C103" s="9" t="s">
        <v>150</v>
      </c>
      <c r="D103" s="1" t="s">
        <v>25</v>
      </c>
      <c r="E103" s="9">
        <v>2500</v>
      </c>
      <c r="F103" s="9">
        <v>2500</v>
      </c>
      <c r="G103" s="8">
        <f t="shared" si="22"/>
        <v>5000</v>
      </c>
      <c r="H103" s="9"/>
      <c r="I103" s="9"/>
      <c r="J103" s="8">
        <f t="shared" si="23"/>
        <v>0</v>
      </c>
      <c r="K103" s="8">
        <f t="shared" si="21"/>
        <v>0</v>
      </c>
    </row>
    <row r="104" spans="1:11" ht="139.5" customHeight="1">
      <c r="A104" s="37">
        <v>26</v>
      </c>
      <c r="B104" s="26"/>
      <c r="C104" s="30" t="s">
        <v>146</v>
      </c>
      <c r="D104" s="25" t="s">
        <v>13</v>
      </c>
      <c r="E104" s="8">
        <f>SUM(E105)</f>
        <v>150000</v>
      </c>
      <c r="F104" s="8">
        <f>SUM(F105)</f>
        <v>0</v>
      </c>
      <c r="G104" s="8">
        <f>SUM(E104+F104)</f>
        <v>150000</v>
      </c>
      <c r="H104" s="8">
        <f>SUM(H105)</f>
        <v>0</v>
      </c>
      <c r="I104" s="8">
        <f>SUM(I105)</f>
        <v>0</v>
      </c>
      <c r="J104" s="8">
        <f>H104+I104</f>
        <v>0</v>
      </c>
      <c r="K104" s="8">
        <f>J104/G104*100</f>
        <v>0</v>
      </c>
    </row>
    <row r="105" spans="1:11" ht="46.5" customHeight="1">
      <c r="A105" s="37"/>
      <c r="B105" s="10">
        <v>3719770</v>
      </c>
      <c r="C105" s="23" t="s">
        <v>35</v>
      </c>
      <c r="D105" s="1" t="s">
        <v>28</v>
      </c>
      <c r="E105" s="9">
        <v>150000</v>
      </c>
      <c r="F105" s="9"/>
      <c r="G105" s="8">
        <f>E105+F105</f>
        <v>150000</v>
      </c>
      <c r="H105" s="8"/>
      <c r="I105" s="8"/>
      <c r="J105" s="8">
        <f>H105+I105</f>
        <v>0</v>
      </c>
      <c r="K105" s="8">
        <f>J105/G105*100</f>
        <v>0</v>
      </c>
    </row>
    <row r="106" spans="1:11" ht="149.25" customHeight="1">
      <c r="A106" s="38">
        <v>27</v>
      </c>
      <c r="B106" s="10"/>
      <c r="C106" s="30" t="s">
        <v>145</v>
      </c>
      <c r="D106" s="25" t="s">
        <v>13</v>
      </c>
      <c r="E106" s="8">
        <f>SUM(E107)</f>
        <v>58805</v>
      </c>
      <c r="F106" s="8">
        <f>SUM(F107)</f>
        <v>1195</v>
      </c>
      <c r="G106" s="8">
        <f>E106+F106</f>
        <v>60000</v>
      </c>
      <c r="H106" s="8">
        <f>SUM(H107)</f>
        <v>17165.699999999997</v>
      </c>
      <c r="I106" s="8">
        <f>SUM(I107)</f>
        <v>640</v>
      </c>
      <c r="J106" s="8">
        <f t="shared" si="23"/>
        <v>17805.699999999997</v>
      </c>
      <c r="K106" s="8">
        <f t="shared" si="21"/>
        <v>29.676166666666663</v>
      </c>
    </row>
    <row r="107" spans="1:11" ht="75" customHeight="1">
      <c r="A107" s="40"/>
      <c r="B107" s="10">
        <v>3719800</v>
      </c>
      <c r="C107" s="1" t="s">
        <v>85</v>
      </c>
      <c r="D107" s="1" t="s">
        <v>28</v>
      </c>
      <c r="E107" s="9">
        <v>58805</v>
      </c>
      <c r="F107" s="9">
        <v>1195</v>
      </c>
      <c r="G107" s="8">
        <f>E107+F107</f>
        <v>60000</v>
      </c>
      <c r="H107" s="9">
        <f>9614.8-198+334+7414.9</f>
        <v>17165.699999999997</v>
      </c>
      <c r="I107" s="9">
        <v>640</v>
      </c>
      <c r="J107" s="8">
        <f t="shared" si="23"/>
        <v>17805.699999999997</v>
      </c>
      <c r="K107" s="8">
        <f t="shared" si="21"/>
        <v>29.676166666666663</v>
      </c>
    </row>
    <row r="108" spans="1:11" ht="36" customHeight="1">
      <c r="A108" s="47" t="s">
        <v>181</v>
      </c>
      <c r="B108" s="47"/>
      <c r="C108" s="47"/>
      <c r="D108" s="47"/>
      <c r="E108" s="8">
        <f>E5+E9+E15+E19+E33+E39+E43+E45+E47+E55+E57++E59+E61+E63+E67+E70+E75+E77+E81+E85+E91+E93+E96+E102+E104+E106+E89</f>
        <v>1134679.8185800002</v>
      </c>
      <c r="F108" s="8">
        <f>F5+F9+F15+F19+F33+F39+F43+F45+F47+F55+F57++F59+F61+F63+F67+F70+F75+F77+F81+F85+F91+F93+F96+F102+F104+F106+F89</f>
        <v>250666.86934999999</v>
      </c>
      <c r="G108" s="8">
        <f>E108+F108</f>
        <v>1385346.6879300002</v>
      </c>
      <c r="H108" s="8">
        <f>H5+H9+H15+H19+H33+H39+H43+H45+H47+H55+H57++H59+H61+H63+H67+H70+H75+H77+H81+H85+I91+H93+H96+H102+H104+H106+H89</f>
        <v>266612.45900000003</v>
      </c>
      <c r="I108" s="8">
        <f>I5+I9+I15+I19+I33+I39+I43+I45+I47+I55+I57++I59+I61+I63+I67+I70+I75+I77+I81+I85+J91+I93+I96+I102+I104+I106+I89</f>
        <v>12049.800000000001</v>
      </c>
      <c r="J108" s="8">
        <f t="shared" si="23"/>
        <v>278662.25900000002</v>
      </c>
      <c r="K108" s="8">
        <f>J108/G108*100</f>
        <v>20.114983594206308</v>
      </c>
    </row>
    <row r="109" spans="1:11">
      <c r="A109" s="2"/>
      <c r="B109" s="6"/>
      <c r="C109" s="4"/>
      <c r="D109" s="2"/>
      <c r="E109" s="2"/>
      <c r="F109" s="2"/>
      <c r="G109" s="2"/>
      <c r="H109" s="2"/>
      <c r="I109" s="2"/>
      <c r="J109" s="2"/>
      <c r="K109" s="2"/>
    </row>
    <row r="110" spans="1:11">
      <c r="A110" s="2"/>
      <c r="B110" s="6"/>
      <c r="C110" s="4"/>
      <c r="D110" s="2"/>
      <c r="E110" s="2"/>
      <c r="F110" s="2"/>
      <c r="G110" s="2"/>
      <c r="H110" s="2"/>
      <c r="I110" s="2"/>
      <c r="J110" s="2"/>
      <c r="K110" s="2"/>
    </row>
    <row r="111" spans="1:11">
      <c r="A111" s="2"/>
      <c r="B111" s="6"/>
      <c r="C111" s="4"/>
      <c r="D111" s="2"/>
      <c r="E111" s="2"/>
      <c r="F111" s="2"/>
      <c r="G111" s="2"/>
      <c r="H111" s="2"/>
      <c r="I111" s="2"/>
      <c r="J111" s="2"/>
      <c r="K111" s="2"/>
    </row>
    <row r="112" spans="1:11">
      <c r="A112" s="2"/>
      <c r="B112" s="6"/>
      <c r="C112" s="4"/>
      <c r="D112" s="2"/>
      <c r="E112" s="2"/>
      <c r="F112" s="2"/>
      <c r="G112" s="2"/>
      <c r="H112" s="2"/>
      <c r="I112" s="2"/>
      <c r="J112" s="2"/>
      <c r="K112" s="2"/>
    </row>
    <row r="113" spans="1:11">
      <c r="A113" s="2"/>
      <c r="B113" s="6"/>
      <c r="C113" s="4"/>
      <c r="D113" s="2"/>
      <c r="E113" s="2"/>
      <c r="F113" s="2"/>
      <c r="G113" s="2"/>
      <c r="H113" s="2"/>
      <c r="I113" s="2"/>
      <c r="J113" s="2"/>
      <c r="K113" s="2"/>
    </row>
    <row r="114" spans="1:11">
      <c r="A114" s="2"/>
      <c r="B114" s="6"/>
      <c r="C114" s="4"/>
      <c r="D114" s="2"/>
      <c r="E114" s="2"/>
      <c r="F114" s="2"/>
      <c r="G114" s="2"/>
      <c r="H114" s="2"/>
      <c r="I114" s="2"/>
      <c r="J114" s="2"/>
      <c r="K114" s="2"/>
    </row>
    <row r="115" spans="1:11">
      <c r="A115" s="2"/>
      <c r="B115" s="6"/>
      <c r="C115" s="4"/>
      <c r="D115" s="2"/>
      <c r="E115" s="2"/>
      <c r="F115" s="2"/>
      <c r="G115" s="2"/>
      <c r="H115" s="2"/>
      <c r="I115" s="2"/>
      <c r="J115" s="2"/>
      <c r="K115" s="2"/>
    </row>
    <row r="116" spans="1:11">
      <c r="A116" s="2"/>
      <c r="B116" s="6"/>
      <c r="C116" s="4"/>
      <c r="D116" s="2"/>
      <c r="E116" s="2"/>
      <c r="F116" s="2"/>
      <c r="G116" s="2"/>
      <c r="H116" s="2"/>
      <c r="I116" s="2"/>
      <c r="J116" s="2"/>
      <c r="K116" s="2"/>
    </row>
    <row r="117" spans="1:11">
      <c r="A117" s="2"/>
      <c r="B117" s="6"/>
      <c r="C117" s="4"/>
      <c r="D117" s="2"/>
      <c r="E117" s="2"/>
      <c r="F117" s="2"/>
      <c r="G117" s="2"/>
      <c r="H117" s="2"/>
      <c r="I117" s="2"/>
      <c r="J117" s="2"/>
      <c r="K117" s="2"/>
    </row>
    <row r="118" spans="1:11">
      <c r="A118" s="2"/>
      <c r="B118" s="6"/>
      <c r="C118" s="4"/>
      <c r="D118" s="2"/>
      <c r="E118" s="2"/>
      <c r="F118" s="2"/>
      <c r="G118" s="2"/>
      <c r="H118" s="2"/>
      <c r="I118" s="2"/>
      <c r="J118" s="2"/>
      <c r="K118" s="2"/>
    </row>
    <row r="119" spans="1:11">
      <c r="A119" s="2"/>
      <c r="B119" s="6"/>
      <c r="C119" s="4"/>
      <c r="D119" s="2"/>
      <c r="E119" s="2"/>
      <c r="F119" s="2"/>
      <c r="G119" s="2"/>
      <c r="H119" s="2"/>
      <c r="I119" s="2"/>
      <c r="J119" s="2"/>
      <c r="K119" s="2"/>
    </row>
    <row r="120" spans="1:11">
      <c r="A120" s="2"/>
      <c r="B120" s="6"/>
      <c r="C120" s="4"/>
      <c r="D120" s="2"/>
      <c r="E120" s="2"/>
      <c r="F120" s="2"/>
      <c r="G120" s="2"/>
      <c r="H120" s="2"/>
      <c r="I120" s="2"/>
      <c r="J120" s="2"/>
      <c r="K120" s="2"/>
    </row>
    <row r="121" spans="1:11">
      <c r="A121" s="2"/>
      <c r="B121" s="6"/>
      <c r="C121" s="4"/>
      <c r="D121" s="2"/>
      <c r="E121" s="2"/>
      <c r="F121" s="2"/>
      <c r="G121" s="2"/>
      <c r="H121" s="2"/>
      <c r="I121" s="2"/>
      <c r="J121" s="2"/>
      <c r="K121" s="2"/>
    </row>
    <row r="122" spans="1:11">
      <c r="A122" s="2"/>
      <c r="B122" s="6"/>
      <c r="C122" s="4"/>
      <c r="D122" s="2"/>
      <c r="E122" s="2"/>
      <c r="F122" s="2"/>
      <c r="G122" s="2"/>
      <c r="H122" s="2"/>
      <c r="I122" s="2"/>
      <c r="J122" s="2"/>
      <c r="K122" s="2"/>
    </row>
    <row r="123" spans="1:11">
      <c r="A123" s="2"/>
      <c r="B123" s="6"/>
      <c r="C123" s="4"/>
      <c r="D123" s="2"/>
      <c r="E123" s="2"/>
      <c r="F123" s="2"/>
      <c r="G123" s="2"/>
      <c r="H123" s="2"/>
      <c r="I123" s="2"/>
      <c r="J123" s="2"/>
      <c r="K123" s="2"/>
    </row>
    <row r="124" spans="1:11">
      <c r="A124" s="2"/>
      <c r="B124" s="6"/>
      <c r="C124" s="4"/>
      <c r="D124" s="2"/>
      <c r="E124" s="2"/>
      <c r="F124" s="2"/>
      <c r="G124" s="2"/>
      <c r="H124" s="2"/>
      <c r="I124" s="2"/>
      <c r="J124" s="2"/>
      <c r="K124" s="2"/>
    </row>
    <row r="125" spans="1:11">
      <c r="A125" s="2"/>
      <c r="B125" s="6"/>
      <c r="C125" s="4"/>
      <c r="D125" s="2"/>
      <c r="E125" s="2"/>
      <c r="F125" s="2"/>
      <c r="G125" s="2"/>
      <c r="H125" s="2"/>
      <c r="I125" s="2"/>
      <c r="J125" s="2"/>
      <c r="K125" s="2"/>
    </row>
    <row r="126" spans="1:11">
      <c r="A126" s="2"/>
      <c r="B126" s="6"/>
      <c r="C126" s="4"/>
      <c r="D126" s="2"/>
      <c r="E126" s="2"/>
      <c r="F126" s="2"/>
      <c r="G126" s="2"/>
      <c r="H126" s="2"/>
      <c r="I126" s="2"/>
      <c r="J126" s="2"/>
      <c r="K126" s="2"/>
    </row>
    <row r="127" spans="1:11">
      <c r="A127" s="2"/>
      <c r="B127" s="6"/>
      <c r="C127" s="4"/>
      <c r="D127" s="2"/>
      <c r="E127" s="2"/>
      <c r="F127" s="2"/>
      <c r="G127" s="2"/>
      <c r="H127" s="2"/>
      <c r="I127" s="2"/>
      <c r="J127" s="2"/>
      <c r="K127" s="2"/>
    </row>
    <row r="128" spans="1:11">
      <c r="A128" s="2"/>
      <c r="B128" s="6"/>
      <c r="C128" s="4"/>
      <c r="D128" s="2"/>
      <c r="E128" s="2"/>
      <c r="F128" s="2"/>
      <c r="G128" s="2"/>
      <c r="H128" s="2"/>
      <c r="I128" s="2"/>
      <c r="J128" s="2"/>
      <c r="K128" s="2"/>
    </row>
    <row r="129" spans="1:11">
      <c r="A129" s="2"/>
      <c r="B129" s="6"/>
      <c r="C129" s="4"/>
      <c r="D129" s="2"/>
      <c r="E129" s="2"/>
      <c r="F129" s="2"/>
      <c r="G129" s="2"/>
      <c r="H129" s="2"/>
      <c r="I129" s="2"/>
      <c r="J129" s="2"/>
      <c r="K129" s="2"/>
    </row>
    <row r="130" spans="1:11">
      <c r="A130" s="2"/>
      <c r="B130" s="6"/>
      <c r="C130" s="4"/>
      <c r="D130" s="2"/>
      <c r="E130" s="2"/>
      <c r="F130" s="2"/>
      <c r="G130" s="2"/>
      <c r="H130" s="2"/>
      <c r="I130" s="2"/>
      <c r="J130" s="2"/>
      <c r="K130" s="2"/>
    </row>
    <row r="131" spans="1:11">
      <c r="A131" s="2"/>
      <c r="B131" s="6"/>
      <c r="C131" s="4"/>
      <c r="D131" s="2"/>
      <c r="E131" s="2"/>
      <c r="F131" s="2"/>
      <c r="G131" s="2"/>
      <c r="H131" s="2"/>
      <c r="I131" s="2"/>
      <c r="J131" s="2"/>
      <c r="K131" s="2"/>
    </row>
    <row r="132" spans="1:11">
      <c r="A132" s="2"/>
      <c r="B132" s="6"/>
      <c r="C132" s="4"/>
      <c r="D132" s="2"/>
      <c r="E132" s="2"/>
      <c r="F132" s="2"/>
      <c r="G132" s="2"/>
      <c r="H132" s="2"/>
      <c r="I132" s="2"/>
      <c r="J132" s="2"/>
      <c r="K132" s="2"/>
    </row>
    <row r="133" spans="1:11">
      <c r="A133" s="2"/>
      <c r="B133" s="6"/>
      <c r="C133" s="4"/>
      <c r="D133" s="2"/>
      <c r="E133" s="2"/>
      <c r="F133" s="2"/>
      <c r="G133" s="2"/>
      <c r="H133" s="2"/>
      <c r="I133" s="2"/>
      <c r="J133" s="2"/>
      <c r="K133" s="2"/>
    </row>
    <row r="134" spans="1:11">
      <c r="A134" s="2"/>
      <c r="B134" s="6"/>
      <c r="C134" s="4"/>
      <c r="D134" s="2"/>
      <c r="E134" s="2"/>
      <c r="F134" s="2"/>
      <c r="G134" s="2"/>
      <c r="H134" s="2"/>
      <c r="I134" s="2"/>
      <c r="J134" s="2"/>
      <c r="K134" s="2"/>
    </row>
    <row r="135" spans="1:11">
      <c r="A135" s="2"/>
      <c r="B135" s="6"/>
      <c r="C135" s="4"/>
      <c r="D135" s="2"/>
      <c r="E135" s="2"/>
      <c r="F135" s="2"/>
      <c r="G135" s="2"/>
      <c r="H135" s="2"/>
      <c r="I135" s="2"/>
      <c r="J135" s="2"/>
      <c r="K135" s="2"/>
    </row>
    <row r="136" spans="1:11">
      <c r="A136" s="2"/>
      <c r="B136" s="6"/>
      <c r="C136" s="4"/>
      <c r="D136" s="2"/>
      <c r="E136" s="2"/>
      <c r="F136" s="2"/>
      <c r="G136" s="2"/>
      <c r="H136" s="2"/>
      <c r="I136" s="2"/>
      <c r="J136" s="2"/>
      <c r="K136" s="2"/>
    </row>
    <row r="137" spans="1:11">
      <c r="A137" s="2"/>
      <c r="B137" s="6"/>
      <c r="C137" s="4"/>
      <c r="D137" s="2"/>
      <c r="E137" s="2"/>
      <c r="F137" s="2"/>
      <c r="G137" s="2"/>
      <c r="H137" s="2"/>
      <c r="I137" s="2"/>
      <c r="J137" s="2"/>
      <c r="K137" s="2"/>
    </row>
    <row r="138" spans="1:11">
      <c r="A138" s="2"/>
      <c r="B138" s="6"/>
      <c r="C138" s="4"/>
      <c r="D138" s="2"/>
      <c r="E138" s="2"/>
      <c r="F138" s="2"/>
      <c r="G138" s="2"/>
      <c r="H138" s="2"/>
      <c r="I138" s="2"/>
      <c r="J138" s="2"/>
      <c r="K138" s="2"/>
    </row>
    <row r="139" spans="1:11">
      <c r="A139" s="2"/>
      <c r="B139" s="6"/>
      <c r="C139" s="4"/>
      <c r="D139" s="2"/>
      <c r="E139" s="2"/>
      <c r="F139" s="2"/>
      <c r="G139" s="2"/>
      <c r="H139" s="2"/>
      <c r="I139" s="2"/>
      <c r="J139" s="2"/>
      <c r="K139" s="2"/>
    </row>
    <row r="140" spans="1:11">
      <c r="A140" s="2"/>
      <c r="B140" s="6"/>
      <c r="C140" s="4"/>
      <c r="D140" s="2"/>
      <c r="E140" s="2"/>
      <c r="F140" s="2"/>
      <c r="G140" s="2"/>
      <c r="H140" s="2"/>
      <c r="I140" s="2"/>
      <c r="J140" s="2"/>
      <c r="K140" s="2"/>
    </row>
    <row r="141" spans="1:11">
      <c r="A141" s="2"/>
      <c r="B141" s="6"/>
      <c r="C141" s="4"/>
      <c r="D141" s="2"/>
      <c r="E141" s="2"/>
      <c r="F141" s="2"/>
      <c r="G141" s="2"/>
      <c r="H141" s="2"/>
      <c r="I141" s="2"/>
      <c r="J141" s="2"/>
      <c r="K141" s="2"/>
    </row>
    <row r="142" spans="1:11">
      <c r="A142" s="2"/>
      <c r="B142" s="6"/>
      <c r="C142" s="4"/>
      <c r="D142" s="2"/>
      <c r="E142" s="2"/>
      <c r="F142" s="2"/>
      <c r="G142" s="2"/>
      <c r="H142" s="2"/>
      <c r="I142" s="2"/>
      <c r="J142" s="2"/>
      <c r="K142" s="2"/>
    </row>
    <row r="143" spans="1:11">
      <c r="A143" s="2"/>
      <c r="B143" s="6"/>
      <c r="C143" s="4"/>
      <c r="D143" s="2"/>
      <c r="E143" s="2"/>
      <c r="F143" s="2"/>
      <c r="G143" s="2"/>
      <c r="H143" s="2"/>
      <c r="I143" s="2"/>
      <c r="J143" s="2"/>
      <c r="K143" s="2"/>
    </row>
    <row r="144" spans="1:11">
      <c r="A144" s="2"/>
      <c r="B144" s="6"/>
      <c r="C144" s="4"/>
      <c r="D144" s="2"/>
      <c r="E144" s="2"/>
      <c r="F144" s="2"/>
      <c r="G144" s="2"/>
      <c r="H144" s="2"/>
      <c r="I144" s="2"/>
      <c r="J144" s="2"/>
      <c r="K144" s="2"/>
    </row>
    <row r="145" spans="1:11">
      <c r="A145" s="2"/>
      <c r="B145" s="6"/>
      <c r="C145" s="4"/>
      <c r="D145" s="2"/>
      <c r="E145" s="2"/>
      <c r="F145" s="2"/>
      <c r="G145" s="2"/>
      <c r="H145" s="2"/>
      <c r="I145" s="2"/>
      <c r="J145" s="2"/>
      <c r="K145" s="2"/>
    </row>
    <row r="146" spans="1:11">
      <c r="A146" s="2"/>
      <c r="B146" s="6"/>
      <c r="C146" s="4"/>
      <c r="D146" s="2"/>
      <c r="E146" s="2"/>
      <c r="F146" s="2"/>
      <c r="G146" s="2"/>
      <c r="H146" s="2"/>
      <c r="I146" s="2"/>
      <c r="J146" s="2"/>
      <c r="K146" s="2"/>
    </row>
    <row r="147" spans="1:11">
      <c r="A147" s="2"/>
      <c r="B147" s="6"/>
      <c r="C147" s="4"/>
      <c r="D147" s="2"/>
      <c r="E147" s="2"/>
      <c r="F147" s="2"/>
      <c r="G147" s="2"/>
      <c r="H147" s="2"/>
      <c r="I147" s="2"/>
      <c r="J147" s="2"/>
      <c r="K147" s="2"/>
    </row>
    <row r="148" spans="1:11">
      <c r="A148" s="2"/>
      <c r="B148" s="6"/>
      <c r="C148" s="4"/>
      <c r="D148" s="2"/>
      <c r="E148" s="2"/>
      <c r="F148" s="2"/>
      <c r="G148" s="2"/>
      <c r="H148" s="2"/>
      <c r="I148" s="2"/>
      <c r="J148" s="2"/>
      <c r="K148" s="2"/>
    </row>
    <row r="149" spans="1:11">
      <c r="A149" s="2"/>
      <c r="B149" s="6"/>
      <c r="C149" s="4"/>
      <c r="D149" s="2"/>
      <c r="E149" s="2"/>
      <c r="F149" s="2"/>
      <c r="G149" s="2"/>
      <c r="H149" s="2"/>
      <c r="I149" s="2"/>
      <c r="J149" s="2"/>
      <c r="K149" s="2"/>
    </row>
    <row r="150" spans="1:11">
      <c r="A150" s="2"/>
      <c r="B150" s="6"/>
      <c r="C150" s="4"/>
      <c r="D150" s="2"/>
      <c r="E150" s="2"/>
      <c r="F150" s="2"/>
      <c r="G150" s="2"/>
      <c r="H150" s="2"/>
      <c r="I150" s="2"/>
      <c r="J150" s="2"/>
      <c r="K150" s="2"/>
    </row>
    <row r="151" spans="1:11">
      <c r="A151" s="2"/>
      <c r="B151" s="6"/>
      <c r="C151" s="4"/>
      <c r="D151" s="2"/>
      <c r="E151" s="2"/>
      <c r="F151" s="2"/>
      <c r="G151" s="2"/>
      <c r="H151" s="2"/>
      <c r="I151" s="2"/>
      <c r="J151" s="2"/>
      <c r="K151" s="2"/>
    </row>
    <row r="152" spans="1:11">
      <c r="A152" s="2"/>
      <c r="B152" s="6"/>
      <c r="C152" s="4"/>
      <c r="D152" s="2"/>
      <c r="E152" s="2"/>
      <c r="F152" s="2"/>
      <c r="G152" s="2"/>
      <c r="H152" s="2"/>
      <c r="I152" s="2"/>
      <c r="J152" s="2"/>
      <c r="K152" s="2"/>
    </row>
    <row r="153" spans="1:11">
      <c r="A153" s="2"/>
      <c r="B153" s="6"/>
      <c r="C153" s="4"/>
      <c r="D153" s="2"/>
      <c r="E153" s="2"/>
      <c r="F153" s="2"/>
      <c r="G153" s="2"/>
      <c r="H153" s="2"/>
      <c r="I153" s="2"/>
      <c r="J153" s="2"/>
      <c r="K153" s="2"/>
    </row>
    <row r="154" spans="1:11">
      <c r="A154" s="2"/>
      <c r="B154" s="6"/>
      <c r="C154" s="4"/>
      <c r="D154" s="2"/>
      <c r="E154" s="2"/>
      <c r="F154" s="2"/>
      <c r="G154" s="2"/>
      <c r="H154" s="2"/>
      <c r="I154" s="2"/>
      <c r="J154" s="2"/>
      <c r="K154" s="2"/>
    </row>
    <row r="155" spans="1:11">
      <c r="A155" s="2"/>
      <c r="B155" s="6"/>
      <c r="C155" s="4"/>
      <c r="D155" s="2"/>
      <c r="E155" s="2"/>
      <c r="F155" s="2"/>
      <c r="G155" s="2"/>
      <c r="H155" s="2"/>
      <c r="I155" s="2"/>
      <c r="J155" s="2"/>
      <c r="K155" s="2"/>
    </row>
    <row r="156" spans="1:11">
      <c r="A156" s="2"/>
      <c r="B156" s="6"/>
      <c r="C156" s="4"/>
      <c r="D156" s="2"/>
      <c r="E156" s="2"/>
      <c r="F156" s="2"/>
      <c r="G156" s="2"/>
      <c r="H156" s="2"/>
      <c r="I156" s="2"/>
      <c r="J156" s="2"/>
      <c r="K156" s="2"/>
    </row>
    <row r="157" spans="1:11">
      <c r="A157" s="2"/>
      <c r="B157" s="6"/>
      <c r="C157" s="4"/>
      <c r="D157" s="2"/>
      <c r="E157" s="2"/>
      <c r="F157" s="2"/>
      <c r="G157" s="2"/>
      <c r="H157" s="2"/>
      <c r="I157" s="2"/>
      <c r="J157" s="2"/>
      <c r="K157" s="2"/>
    </row>
    <row r="158" spans="1:11">
      <c r="A158" s="2"/>
      <c r="B158" s="6"/>
      <c r="C158" s="4"/>
      <c r="D158" s="2"/>
      <c r="E158" s="2"/>
      <c r="F158" s="2"/>
      <c r="G158" s="2"/>
      <c r="H158" s="2"/>
      <c r="I158" s="2"/>
      <c r="J158" s="2"/>
      <c r="K158" s="2"/>
    </row>
  </sheetData>
  <mergeCells count="52">
    <mergeCell ref="A3:A4"/>
    <mergeCell ref="C3:C4"/>
    <mergeCell ref="D3:D4"/>
    <mergeCell ref="E3:G3"/>
    <mergeCell ref="H3:J3"/>
    <mergeCell ref="K3:K4"/>
    <mergeCell ref="A108:D108"/>
    <mergeCell ref="A5:A8"/>
    <mergeCell ref="A39:A42"/>
    <mergeCell ref="D40:D41"/>
    <mergeCell ref="D11:D14"/>
    <mergeCell ref="A9:A14"/>
    <mergeCell ref="A15:A18"/>
    <mergeCell ref="A33:A38"/>
    <mergeCell ref="C6:C7"/>
    <mergeCell ref="D16:D18"/>
    <mergeCell ref="D97:D101"/>
    <mergeCell ref="A1:J1"/>
    <mergeCell ref="D2:E2"/>
    <mergeCell ref="D34:D38"/>
    <mergeCell ref="A59:A60"/>
    <mergeCell ref="A19:A32"/>
    <mergeCell ref="A43:A44"/>
    <mergeCell ref="A45:A46"/>
    <mergeCell ref="D82:D84"/>
    <mergeCell ref="B3:B4"/>
    <mergeCell ref="A67:A69"/>
    <mergeCell ref="D86:D88"/>
    <mergeCell ref="D71:D74"/>
    <mergeCell ref="D64:D66"/>
    <mergeCell ref="D68:D69"/>
    <mergeCell ref="D94:D95"/>
    <mergeCell ref="A75:A76"/>
    <mergeCell ref="A106:A107"/>
    <mergeCell ref="A91:A92"/>
    <mergeCell ref="A81:A84"/>
    <mergeCell ref="A55:A56"/>
    <mergeCell ref="A104:A105"/>
    <mergeCell ref="A93:A95"/>
    <mergeCell ref="A70:A72"/>
    <mergeCell ref="A61:A62"/>
    <mergeCell ref="A96:A101"/>
    <mergeCell ref="D48:D54"/>
    <mergeCell ref="D20:D32"/>
    <mergeCell ref="D78:D80"/>
    <mergeCell ref="A102:A103"/>
    <mergeCell ref="A85:A88"/>
    <mergeCell ref="A47:A54"/>
    <mergeCell ref="A77:A79"/>
    <mergeCell ref="A57:A58"/>
    <mergeCell ref="A63:A66"/>
    <mergeCell ref="A89:A90"/>
  </mergeCells>
  <phoneticPr fontId="37" type="noConversion"/>
  <printOptions horizontalCentered="1"/>
  <pageMargins left="0.15748031496062992" right="0.15748031496062992" top="0.23622047244094491" bottom="0.19685039370078741" header="0.23622047244094491" footer="0.1574803149606299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>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user</cp:lastModifiedBy>
  <cp:lastPrinted>2021-05-07T07:06:28Z</cp:lastPrinted>
  <dcterms:created xsi:type="dcterms:W3CDTF">2019-01-30T14:30:49Z</dcterms:created>
  <dcterms:modified xsi:type="dcterms:W3CDTF">2022-06-07T13:47:29Z</dcterms:modified>
</cp:coreProperties>
</file>