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840" yWindow="-72" windowWidth="8292" windowHeight="7788" activeTab="1"/>
  </bookViews>
  <sheets>
    <sheet name="за видами надходжень" sheetId="9" r:id="rId1"/>
    <sheet name="мб зф по АТО" sheetId="2" r:id="rId2"/>
    <sheet name="дотац по АТО" sheetId="10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АТО'!$A$1:$N$71</definedName>
    <definedName name="_xlnm.Print_Area" localSheetId="0">'за видами надходжень'!$A$1:$M$33</definedName>
    <definedName name="_xlnm.Print_Area" localSheetId="1">'мб зф по АТО'!$A$1:$H$70</definedName>
  </definedNames>
  <calcPr calcId="124519" fullCalcOnLoad="1"/>
</workbook>
</file>

<file path=xl/calcChain.xml><?xml version="1.0" encoding="utf-8"?>
<calcChain xmlns="http://schemas.openxmlformats.org/spreadsheetml/2006/main">
  <c r="I28" i="9"/>
  <c r="L46" i="10"/>
  <c r="F8"/>
  <c r="F9"/>
  <c r="I21" i="9"/>
  <c r="L18"/>
  <c r="L10"/>
  <c r="L11"/>
  <c r="J69" i="10"/>
  <c r="M69" s="1"/>
  <c r="J66"/>
  <c r="J63"/>
  <c r="J46"/>
  <c r="J33"/>
  <c r="J13"/>
  <c r="M13" s="1"/>
  <c r="J10"/>
  <c r="N10" s="1"/>
  <c r="J7"/>
  <c r="N7" s="1"/>
  <c r="D70"/>
  <c r="D68"/>
  <c r="D67"/>
  <c r="D65"/>
  <c r="H65" s="1"/>
  <c r="D64"/>
  <c r="H64" s="1"/>
  <c r="D62"/>
  <c r="G62" s="1"/>
  <c r="D61"/>
  <c r="D60"/>
  <c r="H60" s="1"/>
  <c r="D59"/>
  <c r="D58"/>
  <c r="G58" s="1"/>
  <c r="D57"/>
  <c r="G57" s="1"/>
  <c r="D56"/>
  <c r="D55"/>
  <c r="H55" s="1"/>
  <c r="D54"/>
  <c r="D53"/>
  <c r="D52"/>
  <c r="D51"/>
  <c r="H51" s="1"/>
  <c r="D50"/>
  <c r="D49"/>
  <c r="D48"/>
  <c r="G48" s="1"/>
  <c r="D47"/>
  <c r="D45"/>
  <c r="G45" s="1"/>
  <c r="D44"/>
  <c r="H44" s="1"/>
  <c r="D43"/>
  <c r="G43" s="1"/>
  <c r="D42"/>
  <c r="D41"/>
  <c r="G41" s="1"/>
  <c r="D40"/>
  <c r="D39"/>
  <c r="G39" s="1"/>
  <c r="D38"/>
  <c r="H38" s="1"/>
  <c r="D37"/>
  <c r="G37" s="1"/>
  <c r="D36"/>
  <c r="D34"/>
  <c r="G34" s="1"/>
  <c r="D32"/>
  <c r="D30"/>
  <c r="H30" s="1"/>
  <c r="D29"/>
  <c r="G29" s="1"/>
  <c r="D28"/>
  <c r="H28" s="1"/>
  <c r="D27"/>
  <c r="G27" s="1"/>
  <c r="D26"/>
  <c r="D25"/>
  <c r="D24"/>
  <c r="H24" s="1"/>
  <c r="D23"/>
  <c r="D22"/>
  <c r="G22" s="1"/>
  <c r="D21"/>
  <c r="D20"/>
  <c r="G20" s="1"/>
  <c r="D19"/>
  <c r="D18"/>
  <c r="G18" s="1"/>
  <c r="D17"/>
  <c r="H17" s="1"/>
  <c r="D16"/>
  <c r="G16" s="1"/>
  <c r="D15"/>
  <c r="D11"/>
  <c r="G11" s="1"/>
  <c r="D9"/>
  <c r="D8"/>
  <c r="G8" s="1"/>
  <c r="I9" i="9"/>
  <c r="I10"/>
  <c r="I11"/>
  <c r="I24"/>
  <c r="E70" i="2"/>
  <c r="J38"/>
  <c r="I20" i="9"/>
  <c r="E20"/>
  <c r="M20"/>
  <c r="L20"/>
  <c r="J20"/>
  <c r="K20"/>
  <c r="K71" i="10"/>
  <c r="H33" i="9" s="1"/>
  <c r="L69" i="10"/>
  <c r="F23"/>
  <c r="G23"/>
  <c r="H23"/>
  <c r="G69" i="2"/>
  <c r="G63"/>
  <c r="G37"/>
  <c r="G68"/>
  <c r="E71" i="10"/>
  <c r="H32" i="9" s="1"/>
  <c r="C70" i="2"/>
  <c r="D70"/>
  <c r="H67" i="10"/>
  <c r="H68"/>
  <c r="H70"/>
  <c r="H59"/>
  <c r="H61"/>
  <c r="H62"/>
  <c r="G70"/>
  <c r="G68"/>
  <c r="G67"/>
  <c r="G64"/>
  <c r="G59"/>
  <c r="G60"/>
  <c r="G61"/>
  <c r="F70"/>
  <c r="F68"/>
  <c r="F67"/>
  <c r="F65"/>
  <c r="F64"/>
  <c r="F59"/>
  <c r="F60"/>
  <c r="F61"/>
  <c r="F62"/>
  <c r="F58"/>
  <c r="C71"/>
  <c r="F57" i="2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H63"/>
  <c r="F64"/>
  <c r="G64"/>
  <c r="H64"/>
  <c r="F65"/>
  <c r="G65"/>
  <c r="H65"/>
  <c r="F66"/>
  <c r="G66"/>
  <c r="H66"/>
  <c r="F67"/>
  <c r="G67"/>
  <c r="H67"/>
  <c r="F68"/>
  <c r="H68"/>
  <c r="F69"/>
  <c r="H69"/>
  <c r="N69" i="10"/>
  <c r="N66"/>
  <c r="N63"/>
  <c r="N46"/>
  <c r="M66"/>
  <c r="M63"/>
  <c r="M46"/>
  <c r="L66"/>
  <c r="L63"/>
  <c r="L13"/>
  <c r="J71"/>
  <c r="G33" i="9" s="1"/>
  <c r="I71" i="10"/>
  <c r="J22" i="9"/>
  <c r="I29"/>
  <c r="I27"/>
  <c r="I26"/>
  <c r="I25"/>
  <c r="I23"/>
  <c r="I22"/>
  <c r="I19"/>
  <c r="I18"/>
  <c r="I17"/>
  <c r="I16"/>
  <c r="I15"/>
  <c r="I14"/>
  <c r="I13"/>
  <c r="I30"/>
  <c r="E8"/>
  <c r="I8"/>
  <c r="J8"/>
  <c r="K8"/>
  <c r="L8"/>
  <c r="M8"/>
  <c r="H70" i="2"/>
  <c r="G70"/>
  <c r="F70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M21" i="9"/>
  <c r="L21"/>
  <c r="M18"/>
  <c r="M17"/>
  <c r="L17"/>
  <c r="M15"/>
  <c r="L15"/>
  <c r="M14"/>
  <c r="L14"/>
  <c r="M13"/>
  <c r="L13"/>
  <c r="M12"/>
  <c r="M11"/>
  <c r="M10"/>
  <c r="M9"/>
  <c r="M7"/>
  <c r="L7"/>
  <c r="H6"/>
  <c r="H5" s="1"/>
  <c r="K21"/>
  <c r="K19"/>
  <c r="K18"/>
  <c r="K17"/>
  <c r="K16"/>
  <c r="K15"/>
  <c r="K14"/>
  <c r="K13"/>
  <c r="K12"/>
  <c r="K11"/>
  <c r="K10"/>
  <c r="K9"/>
  <c r="K7"/>
  <c r="F6"/>
  <c r="J26"/>
  <c r="E26"/>
  <c r="F50" i="10"/>
  <c r="G50"/>
  <c r="H50"/>
  <c r="F51"/>
  <c r="F52"/>
  <c r="G52"/>
  <c r="H52"/>
  <c r="F53"/>
  <c r="G53"/>
  <c r="H53"/>
  <c r="F54"/>
  <c r="G54"/>
  <c r="H54"/>
  <c r="F55"/>
  <c r="F56"/>
  <c r="G56"/>
  <c r="H56"/>
  <c r="J17" i="9"/>
  <c r="E17"/>
  <c r="J30"/>
  <c r="J29"/>
  <c r="J28"/>
  <c r="J27"/>
  <c r="J25"/>
  <c r="J24"/>
  <c r="J23"/>
  <c r="J21"/>
  <c r="J19"/>
  <c r="J18"/>
  <c r="J16"/>
  <c r="J15"/>
  <c r="J14"/>
  <c r="J13"/>
  <c r="J12"/>
  <c r="J11"/>
  <c r="J10"/>
  <c r="J9"/>
  <c r="J7"/>
  <c r="I7"/>
  <c r="F5" i="2"/>
  <c r="H6" i="10"/>
  <c r="L7"/>
  <c r="M7"/>
  <c r="G9"/>
  <c r="H9"/>
  <c r="L10"/>
  <c r="M10"/>
  <c r="F11"/>
  <c r="H11"/>
  <c r="F15"/>
  <c r="G15"/>
  <c r="H15"/>
  <c r="F16"/>
  <c r="H16"/>
  <c r="F17"/>
  <c r="G17"/>
  <c r="F18"/>
  <c r="H18"/>
  <c r="F19"/>
  <c r="G19"/>
  <c r="H19"/>
  <c r="F20"/>
  <c r="H20"/>
  <c r="F21"/>
  <c r="G21"/>
  <c r="H21"/>
  <c r="F22"/>
  <c r="H22"/>
  <c r="F24"/>
  <c r="G24"/>
  <c r="F25"/>
  <c r="G25"/>
  <c r="H25"/>
  <c r="F26"/>
  <c r="G26"/>
  <c r="H26"/>
  <c r="F27"/>
  <c r="H27"/>
  <c r="F28"/>
  <c r="G28"/>
  <c r="F29"/>
  <c r="H29"/>
  <c r="F30"/>
  <c r="G30"/>
  <c r="F32"/>
  <c r="G32"/>
  <c r="H32"/>
  <c r="L33"/>
  <c r="M33"/>
  <c r="N33"/>
  <c r="F34"/>
  <c r="H34"/>
  <c r="F36"/>
  <c r="G36"/>
  <c r="H36"/>
  <c r="F37"/>
  <c r="H37"/>
  <c r="F38"/>
  <c r="G38"/>
  <c r="F39"/>
  <c r="H39"/>
  <c r="F40"/>
  <c r="G40"/>
  <c r="H40"/>
  <c r="F41"/>
  <c r="H41"/>
  <c r="F42"/>
  <c r="G42"/>
  <c r="H42"/>
  <c r="F43"/>
  <c r="H43"/>
  <c r="F44"/>
  <c r="G44"/>
  <c r="F45"/>
  <c r="H45"/>
  <c r="F47"/>
  <c r="G47"/>
  <c r="H47"/>
  <c r="F48"/>
  <c r="H48"/>
  <c r="F49"/>
  <c r="G49"/>
  <c r="H49"/>
  <c r="F57"/>
  <c r="H57"/>
  <c r="F71"/>
  <c r="N71"/>
  <c r="D6" i="9"/>
  <c r="E6" s="1"/>
  <c r="C6"/>
  <c r="C5" s="1"/>
  <c r="E33"/>
  <c r="E32"/>
  <c r="E30"/>
  <c r="E29"/>
  <c r="E28"/>
  <c r="E27"/>
  <c r="E25"/>
  <c r="E24"/>
  <c r="E23"/>
  <c r="E22"/>
  <c r="E21"/>
  <c r="E19"/>
  <c r="E18"/>
  <c r="E16"/>
  <c r="E15"/>
  <c r="E14"/>
  <c r="E13"/>
  <c r="E12"/>
  <c r="E11"/>
  <c r="E10"/>
  <c r="E9"/>
  <c r="E7"/>
  <c r="I5" l="1"/>
  <c r="J32"/>
  <c r="K32"/>
  <c r="I32"/>
  <c r="I33"/>
  <c r="K33"/>
  <c r="M33"/>
  <c r="J33"/>
  <c r="L33"/>
  <c r="J6"/>
  <c r="H71" i="10"/>
  <c r="K6" i="9"/>
  <c r="H58" i="10"/>
  <c r="D5" i="9"/>
  <c r="E5" s="1"/>
  <c r="L71" i="10"/>
  <c r="G55"/>
  <c r="G51"/>
  <c r="N13"/>
  <c r="M71"/>
  <c r="D71"/>
  <c r="G65"/>
  <c r="H8"/>
  <c r="I6" i="9"/>
  <c r="G71" i="10" l="1"/>
  <c r="G32" i="9"/>
  <c r="J5"/>
  <c r="L32" l="1"/>
  <c r="M32"/>
</calcChain>
</file>

<file path=xl/sharedStrings.xml><?xml version="1.0" encoding="utf-8"?>
<sst xmlns="http://schemas.openxmlformats.org/spreadsheetml/2006/main" count="213" uniqueCount="127">
  <si>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</si>
  <si>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</si>
  <si>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</si>
  <si>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</si>
  <si>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</si>
  <si>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м.Львів</t>
  </si>
  <si>
    <t>м.Борислав</t>
  </si>
  <si>
    <t>м.Дрогобич</t>
  </si>
  <si>
    <t>м.Моршин</t>
  </si>
  <si>
    <t>м.Новий Розділ</t>
  </si>
  <si>
    <t>м.Самбір</t>
  </si>
  <si>
    <t>м.Стрий</t>
  </si>
  <si>
    <t xml:space="preserve">м.Трускавець </t>
  </si>
  <si>
    <t>м.Червоноград</t>
  </si>
  <si>
    <t xml:space="preserve">Найменування адміністративно-територіальних одиниць 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</si>
  <si>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</si>
  <si>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</si>
  <si>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</si>
  <si>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</si>
  <si>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</si>
  <si>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</si>
  <si>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</si>
  <si>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</si>
  <si>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</si>
  <si>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</si>
  <si>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</si>
  <si>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</si>
  <si>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</si>
  <si>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</si>
  <si>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</si>
  <si>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</si>
  <si>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</si>
  <si>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акцизний податок з вироблених товарів</t>
  </si>
  <si>
    <t>ПДВ з ввезених товарів</t>
  </si>
  <si>
    <t>ввізне мито</t>
  </si>
  <si>
    <t>Реверсна дотація</t>
  </si>
  <si>
    <t>Базова дотація</t>
  </si>
  <si>
    <t>Заболотцівська ОТГ</t>
  </si>
  <si>
    <t>Гніздичівська ОТГ</t>
  </si>
  <si>
    <t>Новострілищанська ОТГ</t>
  </si>
  <si>
    <t>Тростянецька ОТГ</t>
  </si>
  <si>
    <t>Бабинська ОТГ</t>
  </si>
  <si>
    <t>Бісковицька ОТГ</t>
  </si>
  <si>
    <t>Вільшаницька ОТГ</t>
  </si>
  <si>
    <t>Воле-Баранецька ОТГ</t>
  </si>
  <si>
    <t>Дублянська ОТГ</t>
  </si>
  <si>
    <t>Луківська ОТГ</t>
  </si>
  <si>
    <t>Новокалинівська ОТГ</t>
  </si>
  <si>
    <t>Чукв'янська ОТГ</t>
  </si>
  <si>
    <t>Міженецька ОТГ</t>
  </si>
  <si>
    <t>Новоміська ОТГ</t>
  </si>
  <si>
    <t>Грабовецька ОТГ</t>
  </si>
  <si>
    <t>ЗАГАЛОМ</t>
  </si>
  <si>
    <t>до спеціального фонду</t>
  </si>
  <si>
    <t>в абсо-лютній сумі</t>
  </si>
  <si>
    <t>у %</t>
  </si>
  <si>
    <t>екологічний податок</t>
  </si>
  <si>
    <t>тис. грн</t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</si>
  <si>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</si>
  <si>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</si>
  <si>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</si>
  <si>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</si>
  <si>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</si>
  <si>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</si>
  <si>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</si>
  <si>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</si>
  <si>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t>Найменування територій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</si>
  <si>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</si>
  <si>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</si>
  <si>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</si>
  <si>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</si>
  <si>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</si>
  <si>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</si>
  <si>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</si>
  <si>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</si>
  <si>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</si>
  <si>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</si>
  <si>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</si>
  <si>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</si>
  <si>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</si>
  <si>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</si>
  <si>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</si>
  <si>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</si>
  <si>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</si>
  <si>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</si>
  <si>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</si>
  <si>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</si>
  <si>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власні надходження бюджетних установ</t>
  </si>
  <si>
    <t>акцизний податок</t>
  </si>
  <si>
    <r>
      <t xml:space="preserve">Фактичні надходження в </t>
    </r>
    <r>
      <rPr>
        <b/>
        <sz val="12"/>
        <rFont val="Verdana"/>
        <family val="2"/>
        <charset val="204"/>
      </rPr>
      <t>2017 році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</si>
  <si>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2017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2017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</si>
  <si>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2018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</si>
  <si>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2018р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2017р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</si>
  <si>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2018 рік</t>
    </r>
    <r>
      <rPr>
        <sz val="11"/>
        <rFont val="Verdana"/>
        <family val="2"/>
        <charset val="204"/>
      </rPr>
      <t>, %</t>
    </r>
  </si>
  <si>
    <t>Великолюбінська ОТГ</t>
  </si>
  <si>
    <t>Магерівська ОТГ</t>
  </si>
  <si>
    <t>Розвадівська ОТГ</t>
  </si>
  <si>
    <t>Волицька ОТГ</t>
  </si>
  <si>
    <t>Підберізцівська ОТГ</t>
  </si>
  <si>
    <t>Солонківська ОТГ</t>
  </si>
  <si>
    <t>Щирецька ОТГ</t>
  </si>
  <si>
    <t>Рудківська ОТГ</t>
  </si>
  <si>
    <t>Славська ОТГ</t>
  </si>
  <si>
    <t>Великомостівська ОТГ</t>
  </si>
  <si>
    <t>Воютицька ОТГ</t>
  </si>
  <si>
    <t>Мурованська ОТГ</t>
  </si>
  <si>
    <t>Кам'янка-Бузька ОТГ</t>
  </si>
  <si>
    <t>План на 2018 рік</t>
  </si>
  <si>
    <t>Фактичні надходження на звітну дату 2018 року</t>
  </si>
  <si>
    <t>Виконання річного плану, %</t>
  </si>
  <si>
    <t>Виконання плану на січень 2018 року</t>
  </si>
  <si>
    <t>Фактичні надхо-дження станом на звітну дату</t>
  </si>
  <si>
    <t>Відсоток вико-нання плану на рік</t>
  </si>
  <si>
    <t>кошти від відчуження майна</t>
  </si>
  <si>
    <t xml:space="preserve">План на 2018 рік </t>
  </si>
  <si>
    <r>
      <t xml:space="preserve">План на </t>
    </r>
    <r>
      <rPr>
        <b/>
        <sz val="12"/>
        <rFont val="Verdana"/>
        <family val="2"/>
        <charset val="204"/>
      </rPr>
      <t>2018 рік</t>
    </r>
  </si>
  <si>
    <r>
      <t>План на січень-лютий</t>
    </r>
    <r>
      <rPr>
        <b/>
        <sz val="12"/>
        <rFont val="Verdana"/>
        <family val="2"/>
        <charset val="204"/>
      </rPr>
      <t xml:space="preserve"> 2018 року 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</si>
  <si>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січень-лютий 2018 року</t>
    </r>
  </si>
  <si>
    <t xml:space="preserve">План на січень-лютий 2018 року </t>
  </si>
  <si>
    <t>Виконання плану на січень-лютий 2018 року</t>
  </si>
  <si>
    <t>План на січень-лютий 2018 року</t>
  </si>
  <si>
    <t xml:space="preserve">Аналіз мобілізації доходів до зведеного бюджету по Львівській області за січень-лютий 2018 року </t>
  </si>
  <si>
    <t xml:space="preserve">Виконання місцевих бюджетів Львівської області за доходами загального фонду за січень-лютий 2018 року </t>
  </si>
  <si>
    <t>Виконання місцевих бюджетів Львівської області за дотаціями станом за січень-лютий 2018 року</t>
  </si>
  <si>
    <t>у 2,3 раза</t>
  </si>
  <si>
    <t>у 5,6 раза</t>
  </si>
  <si>
    <t>у 2,1 раза</t>
  </si>
</sst>
</file>

<file path=xl/styles.xml><?xml version="1.0" encoding="utf-8"?>
<styleSheet xmlns="http://schemas.openxmlformats.org/spreadsheetml/2006/main">
  <numFmts count="16">
    <numFmt numFmtId="185" formatCode="_-* #,##0_р_._-;\-* #,##0_р_._-;_-* &quot;-&quot;_р_._-;_-@_-"/>
    <numFmt numFmtId="196" formatCode="0.0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200" formatCode="#,##0\ &quot;z?&quot;;[Red]\-#,##0\ &quot;z?&quot;"/>
    <numFmt numFmtId="201" formatCode="#,##0.00\ &quot;z?&quot;;[Red]\-#,##0.00\ &quot;z?&quot;"/>
    <numFmt numFmtId="202" formatCode="_-* #,##0\ _z_?_-;\-* #,##0\ _z_?_-;_-* &quot;-&quot;\ _z_?_-;_-@_-"/>
    <numFmt numFmtId="203" formatCode="_-* #,##0.00\ _z_?_-;\-* #,##0.00\ _z_?_-;_-* &quot;-&quot;??\ _z_?_-;_-@_-"/>
    <numFmt numFmtId="204" formatCode="#,##0.\-"/>
    <numFmt numFmtId="210" formatCode="#,##0.0"/>
    <numFmt numFmtId="213" formatCode="#,##0.00000"/>
    <numFmt numFmtId="216" formatCode="0.0000000"/>
    <numFmt numFmtId="219" formatCode="_-* #,##0\ &quot;р.&quot;_-;\-* #,##0\ &quot;р.&quot;_-;_-* &quot;-&quot;\ &quot;р.&quot;_-;_-@_-"/>
    <numFmt numFmtId="220" formatCode="_-* #,##0\ _р_._-;\-* #,##0\ _р_._-;_-* &quot;-&quot;\ _р_._-;_-@_-"/>
    <numFmt numFmtId="221" formatCode="_-* #,##0.00\ &quot;р.&quot;_-;\-* #,##0.00\ &quot;р.&quot;_-;_-* &quot;-&quot;??\ &quot;р.&quot;_-;_-@_-"/>
    <numFmt numFmtId="222" formatCode="_-* #,##0.00\ _р_._-;\-* #,##0.00\ _р_._-;_-* &quot;-&quot;??\ _р_._-;_-@_-"/>
  </numFmts>
  <fonts count="67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8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49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UkrainianPragmatica"/>
      <charset val="204"/>
    </font>
    <font>
      <sz val="8"/>
      <name val="Arial Cyr"/>
      <charset val="204"/>
    </font>
    <font>
      <b/>
      <sz val="16"/>
      <name val="Times New Roman Cyr"/>
      <family val="1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b/>
      <sz val="18"/>
      <name val="Times New Roman"/>
      <family val="1"/>
      <charset val="204"/>
    </font>
    <font>
      <b/>
      <sz val="11"/>
      <color indexed="12"/>
      <name val="Verdana"/>
      <family val="2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7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200" fontId="7" fillId="0" borderId="0" applyFont="0" applyFill="0" applyBorder="0" applyAlignment="0" applyProtection="0"/>
    <xf numFmtId="20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220" fontId="24" fillId="0" borderId="0" applyFont="0" applyFill="0" applyBorder="0" applyAlignment="0" applyProtection="0"/>
    <xf numFmtId="222" fontId="24" fillId="0" borderId="0" applyFont="0" applyFill="0" applyBorder="0" applyAlignment="0" applyProtection="0"/>
    <xf numFmtId="219" fontId="24" fillId="0" borderId="0" applyFont="0" applyFill="0" applyBorder="0" applyAlignment="0" applyProtection="0"/>
    <xf numFmtId="221" fontId="24" fillId="0" borderId="0" applyFont="0" applyFill="0" applyBorder="0" applyAlignment="0" applyProtection="0"/>
    <xf numFmtId="16" fontId="8" fillId="0" borderId="0"/>
    <xf numFmtId="202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204" fontId="10" fillId="9" borderId="0"/>
    <xf numFmtId="0" fontId="11" fillId="10" borderId="0"/>
    <xf numFmtId="20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6" borderId="0" applyFill="0" applyBorder="0" applyProtection="0">
      <alignment horizontal="center"/>
    </xf>
    <xf numFmtId="10" fontId="9" fillId="0" borderId="0"/>
    <xf numFmtId="10" fontId="13" fillId="6" borderId="0" applyFill="0" applyBorder="0" applyProtection="0">
      <alignment horizontal="center"/>
    </xf>
    <xf numFmtId="0" fontId="9" fillId="0" borderId="0"/>
    <xf numFmtId="0" fontId="24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6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8" fillId="5" borderId="2" applyNumberFormat="0" applyAlignment="0" applyProtection="0"/>
    <xf numFmtId="0" fontId="28" fillId="5" borderId="2" applyNumberFormat="0" applyAlignment="0" applyProtection="0"/>
    <xf numFmtId="0" fontId="29" fillId="2" borderId="3" applyNumberFormat="0" applyAlignment="0" applyProtection="0"/>
    <xf numFmtId="0" fontId="30" fillId="2" borderId="2" applyNumberFormat="0" applyAlignment="0" applyProtection="0"/>
    <xf numFmtId="0" fontId="31" fillId="14" borderId="0" applyNumberFormat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7" applyNumberFormat="0" applyFill="0" applyAlignment="0" applyProtection="0"/>
    <xf numFmtId="0" fontId="29" fillId="0" borderId="8" applyNumberFormat="0" applyFill="0" applyAlignment="0" applyProtection="0"/>
    <xf numFmtId="0" fontId="37" fillId="15" borderId="9" applyNumberFormat="0" applyAlignment="0" applyProtection="0"/>
    <xf numFmtId="0" fontId="37" fillId="15" borderId="9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30" fillId="2" borderId="2" applyNumberFormat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40" fillId="0" borderId="0"/>
    <xf numFmtId="0" fontId="24" fillId="0" borderId="0"/>
    <xf numFmtId="0" fontId="29" fillId="0" borderId="8" applyNumberFormat="0" applyFill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35" fillId="18" borderId="10" applyNumberFormat="0" applyFont="0" applyAlignment="0" applyProtection="0"/>
    <xf numFmtId="0" fontId="40" fillId="18" borderId="10" applyNumberFormat="0" applyFont="0" applyAlignment="0" applyProtection="0"/>
    <xf numFmtId="0" fontId="29" fillId="2" borderId="3" applyNumberFormat="0" applyAlignment="0" applyProtection="0"/>
    <xf numFmtId="0" fontId="36" fillId="0" borderId="7" applyNumberFormat="0" applyFill="0" applyAlignment="0" applyProtection="0"/>
    <xf numFmtId="0" fontId="39" fillId="16" borderId="0" applyNumberFormat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222" fontId="44" fillId="0" borderId="0" applyFont="0" applyFill="0" applyBorder="0" applyAlignment="0" applyProtection="0"/>
    <xf numFmtId="0" fontId="31" fillId="14" borderId="0" applyNumberFormat="0" applyBorder="0" applyAlignment="0" applyProtection="0"/>
    <xf numFmtId="0" fontId="3" fillId="0" borderId="0">
      <protection locked="0"/>
    </xf>
  </cellStyleXfs>
  <cellXfs count="255">
    <xf numFmtId="0" fontId="0" fillId="0" borderId="0" xfId="0"/>
    <xf numFmtId="196" fontId="17" fillId="0" borderId="0" xfId="158" applyNumberFormat="1" applyFont="1"/>
    <xf numFmtId="0" fontId="17" fillId="0" borderId="0" xfId="158" applyFont="1"/>
    <xf numFmtId="0" fontId="18" fillId="0" borderId="0" xfId="158" applyFont="1" applyAlignment="1">
      <alignment horizontal="center" vertical="center"/>
    </xf>
    <xf numFmtId="0" fontId="17" fillId="0" borderId="0" xfId="158" applyFont="1" applyAlignment="1">
      <alignment vertical="center"/>
    </xf>
    <xf numFmtId="0" fontId="19" fillId="0" borderId="0" xfId="158" applyFont="1" applyAlignment="1">
      <alignment vertical="center"/>
    </xf>
    <xf numFmtId="0" fontId="18" fillId="0" borderId="0" xfId="158" applyFont="1"/>
    <xf numFmtId="210" fontId="17" fillId="0" borderId="0" xfId="158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48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210" fontId="21" fillId="0" borderId="0" xfId="0" applyNumberFormat="1" applyFont="1" applyAlignment="1">
      <alignment vertical="center"/>
    </xf>
    <xf numFmtId="196" fontId="21" fillId="0" borderId="0" xfId="0" applyNumberFormat="1" applyFont="1" applyFill="1" applyAlignment="1">
      <alignment vertical="center"/>
    </xf>
    <xf numFmtId="196" fontId="21" fillId="0" borderId="0" xfId="0" applyNumberFormat="1" applyFont="1" applyFill="1" applyAlignment="1">
      <alignment horizontal="right" vertical="center"/>
    </xf>
    <xf numFmtId="196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210" fontId="16" fillId="0" borderId="0" xfId="0" applyNumberFormat="1" applyFont="1" applyAlignment="1">
      <alignment vertical="center"/>
    </xf>
    <xf numFmtId="196" fontId="16" fillId="0" borderId="0" xfId="0" applyNumberFormat="1" applyFont="1" applyFill="1" applyAlignment="1">
      <alignment vertical="center"/>
    </xf>
    <xf numFmtId="196" fontId="16" fillId="0" borderId="0" xfId="0" applyNumberFormat="1" applyFont="1" applyFill="1" applyAlignment="1">
      <alignment horizontal="right" vertical="center"/>
    </xf>
    <xf numFmtId="196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96" fontId="47" fillId="0" borderId="0" xfId="0" applyNumberFormat="1" applyFont="1" applyAlignment="1">
      <alignment vertical="center"/>
    </xf>
    <xf numFmtId="196" fontId="47" fillId="0" borderId="0" xfId="0" applyNumberFormat="1" applyFont="1" applyAlignment="1">
      <alignment horizontal="right" vertical="center"/>
    </xf>
    <xf numFmtId="0" fontId="21" fillId="0" borderId="0" xfId="159" applyFont="1" applyBorder="1" applyAlignment="1">
      <alignment vertical="center"/>
    </xf>
    <xf numFmtId="210" fontId="21" fillId="0" borderId="0" xfId="159" applyNumberFormat="1" applyFont="1" applyBorder="1" applyAlignment="1">
      <alignment vertical="center"/>
    </xf>
    <xf numFmtId="196" fontId="22" fillId="0" borderId="0" xfId="0" applyNumberFormat="1" applyFont="1" applyFill="1" applyAlignment="1">
      <alignment vertical="center"/>
    </xf>
    <xf numFmtId="2" fontId="21" fillId="0" borderId="0" xfId="0" applyNumberFormat="1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196" fontId="49" fillId="0" borderId="0" xfId="0" applyNumberFormat="1" applyFont="1" applyFill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right" vertical="center"/>
    </xf>
    <xf numFmtId="210" fontId="50" fillId="0" borderId="0" xfId="0" applyNumberFormat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1" fillId="0" borderId="0" xfId="0" applyFont="1"/>
    <xf numFmtId="0" fontId="49" fillId="0" borderId="0" xfId="0" applyFont="1" applyFill="1"/>
    <xf numFmtId="0" fontId="21" fillId="0" borderId="0" xfId="0" applyFont="1" applyAlignment="1">
      <alignment horizontal="center"/>
    </xf>
    <xf numFmtId="0" fontId="17" fillId="0" borderId="0" xfId="158" applyFont="1" applyFill="1"/>
    <xf numFmtId="0" fontId="51" fillId="0" borderId="0" xfId="0" applyFont="1" applyFill="1" applyAlignment="1">
      <alignment horizontal="right" wrapText="1"/>
    </xf>
    <xf numFmtId="0" fontId="52" fillId="19" borderId="11" xfId="0" applyFont="1" applyFill="1" applyBorder="1" applyAlignment="1">
      <alignment horizontal="center" vertical="center" wrapText="1"/>
    </xf>
    <xf numFmtId="0" fontId="52" fillId="19" borderId="12" xfId="0" applyFont="1" applyFill="1" applyBorder="1" applyAlignment="1">
      <alignment horizontal="center" vertical="center" wrapText="1"/>
    </xf>
    <xf numFmtId="210" fontId="52" fillId="0" borderId="11" xfId="0" applyNumberFormat="1" applyFont="1" applyFill="1" applyBorder="1" applyAlignment="1">
      <alignment horizontal="right" vertical="center" wrapText="1"/>
    </xf>
    <xf numFmtId="210" fontId="52" fillId="0" borderId="11" xfId="0" applyNumberFormat="1" applyFont="1" applyFill="1" applyBorder="1" applyAlignment="1">
      <alignment horizontal="center" vertical="center" wrapText="1"/>
    </xf>
    <xf numFmtId="210" fontId="52" fillId="0" borderId="11" xfId="0" applyNumberFormat="1" applyFont="1" applyBorder="1" applyAlignment="1">
      <alignment horizontal="center" vertical="center" wrapText="1"/>
    </xf>
    <xf numFmtId="210" fontId="51" fillId="0" borderId="11" xfId="0" applyNumberFormat="1" applyFont="1" applyFill="1" applyBorder="1" applyAlignment="1">
      <alignment horizontal="right" vertical="center" wrapText="1"/>
    </xf>
    <xf numFmtId="210" fontId="51" fillId="0" borderId="11" xfId="0" applyNumberFormat="1" applyFont="1" applyFill="1" applyBorder="1" applyAlignment="1">
      <alignment horizontal="center" vertical="center" wrapText="1"/>
    </xf>
    <xf numFmtId="210" fontId="51" fillId="0" borderId="11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vertical="center"/>
    </xf>
    <xf numFmtId="210" fontId="52" fillId="0" borderId="0" xfId="0" applyNumberFormat="1" applyFont="1" applyFill="1" applyAlignment="1">
      <alignment horizontal="right" vertical="center" wrapText="1"/>
    </xf>
    <xf numFmtId="210" fontId="52" fillId="0" borderId="0" xfId="0" applyNumberFormat="1" applyFont="1" applyFill="1" applyAlignment="1">
      <alignment horizontal="center" vertical="center" wrapText="1"/>
    </xf>
    <xf numFmtId="210" fontId="52" fillId="0" borderId="11" xfId="0" applyNumberFormat="1" applyFont="1" applyFill="1" applyBorder="1" applyAlignment="1">
      <alignment vertical="center" wrapText="1"/>
    </xf>
    <xf numFmtId="210" fontId="51" fillId="0" borderId="0" xfId="160" applyNumberFormat="1" applyFont="1" applyFill="1" applyBorder="1" applyAlignment="1">
      <alignment vertical="center"/>
    </xf>
    <xf numFmtId="0" fontId="51" fillId="0" borderId="0" xfId="0" applyFont="1" applyFill="1" applyAlignment="1">
      <alignment wrapText="1"/>
    </xf>
    <xf numFmtId="0" fontId="56" fillId="0" borderId="0" xfId="0" applyFont="1" applyFill="1" applyAlignment="1">
      <alignment wrapText="1"/>
    </xf>
    <xf numFmtId="196" fontId="57" fillId="0" borderId="0" xfId="0" applyNumberFormat="1" applyFont="1" applyFill="1" applyAlignment="1">
      <alignment wrapText="1"/>
    </xf>
    <xf numFmtId="0" fontId="52" fillId="0" borderId="0" xfId="0" applyFont="1" applyFill="1" applyAlignment="1">
      <alignment wrapText="1"/>
    </xf>
    <xf numFmtId="0" fontId="52" fillId="0" borderId="0" xfId="0" applyFont="1" applyFill="1" applyAlignment="1">
      <alignment vertical="top" wrapText="1"/>
    </xf>
    <xf numFmtId="210" fontId="52" fillId="0" borderId="0" xfId="0" applyNumberFormat="1" applyFont="1" applyFill="1" applyAlignment="1">
      <alignment vertical="center" wrapText="1"/>
    </xf>
    <xf numFmtId="210" fontId="57" fillId="0" borderId="0" xfId="0" applyNumberFormat="1" applyFont="1" applyFill="1" applyAlignment="1">
      <alignment vertical="center" wrapText="1"/>
    </xf>
    <xf numFmtId="210" fontId="59" fillId="0" borderId="0" xfId="0" applyNumberFormat="1" applyFont="1" applyFill="1" applyAlignment="1">
      <alignment vertical="center" wrapText="1"/>
    </xf>
    <xf numFmtId="210" fontId="52" fillId="0" borderId="0" xfId="0" applyNumberFormat="1" applyFont="1" applyAlignment="1">
      <alignment vertical="center" wrapText="1"/>
    </xf>
    <xf numFmtId="0" fontId="52" fillId="0" borderId="0" xfId="0" applyFont="1" applyAlignment="1">
      <alignment vertical="center" wrapText="1"/>
    </xf>
    <xf numFmtId="210" fontId="56" fillId="0" borderId="0" xfId="0" applyNumberFormat="1" applyFont="1" applyAlignment="1">
      <alignment vertical="center" wrapText="1"/>
    </xf>
    <xf numFmtId="210" fontId="55" fillId="0" borderId="0" xfId="0" applyNumberFormat="1" applyFont="1" applyFill="1" applyBorder="1" applyAlignment="1" applyProtection="1">
      <alignment vertical="center"/>
    </xf>
    <xf numFmtId="0" fontId="53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0" fontId="52" fillId="0" borderId="13" xfId="0" applyFont="1" applyFill="1" applyBorder="1" applyAlignment="1">
      <alignment vertical="center" wrapText="1"/>
    </xf>
    <xf numFmtId="49" fontId="52" fillId="0" borderId="13" xfId="0" applyNumberFormat="1" applyFont="1" applyFill="1" applyBorder="1" applyAlignment="1">
      <alignment vertical="center" wrapText="1"/>
    </xf>
    <xf numFmtId="0" fontId="52" fillId="0" borderId="14" xfId="0" applyFont="1" applyFill="1" applyBorder="1" applyAlignment="1">
      <alignment vertical="center" wrapText="1"/>
    </xf>
    <xf numFmtId="210" fontId="51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vertical="center" wrapText="1"/>
    </xf>
    <xf numFmtId="210" fontId="51" fillId="0" borderId="11" xfId="0" applyNumberFormat="1" applyFont="1" applyBorder="1" applyAlignment="1">
      <alignment horizontal="right" vertical="center" wrapText="1" indent="1"/>
    </xf>
    <xf numFmtId="210" fontId="52" fillId="0" borderId="11" xfId="0" applyNumberFormat="1" applyFont="1" applyBorder="1" applyAlignment="1">
      <alignment horizontal="right" vertical="center" wrapText="1" indent="1"/>
    </xf>
    <xf numFmtId="210" fontId="52" fillId="0" borderId="0" xfId="0" applyNumberFormat="1" applyFont="1" applyAlignment="1">
      <alignment horizontal="right" vertical="center" wrapText="1" indent="1"/>
    </xf>
    <xf numFmtId="210" fontId="55" fillId="0" borderId="11" xfId="0" applyNumberFormat="1" applyFont="1" applyFill="1" applyBorder="1" applyAlignment="1" applyProtection="1">
      <alignment horizontal="right" vertical="center" indent="1"/>
    </xf>
    <xf numFmtId="0" fontId="52" fillId="0" borderId="14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 vertical="center" wrapText="1"/>
    </xf>
    <xf numFmtId="210" fontId="61" fillId="0" borderId="11" xfId="0" applyNumberFormat="1" applyFont="1" applyBorder="1" applyAlignment="1">
      <alignment horizontal="right" vertical="center" wrapText="1"/>
    </xf>
    <xf numFmtId="210" fontId="61" fillId="2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center" vertical="center" wrapText="1"/>
    </xf>
    <xf numFmtId="210" fontId="61" fillId="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right" vertical="center" wrapText="1" indent="1"/>
    </xf>
    <xf numFmtId="210" fontId="61" fillId="0" borderId="11" xfId="0" applyNumberFormat="1" applyFont="1" applyFill="1" applyBorder="1" applyAlignment="1">
      <alignment horizontal="center" vertical="center" wrapText="1"/>
    </xf>
    <xf numFmtId="210" fontId="53" fillId="0" borderId="11" xfId="0" applyNumberFormat="1" applyFont="1" applyBorder="1" applyAlignment="1">
      <alignment horizontal="right" vertical="center" wrapText="1"/>
    </xf>
    <xf numFmtId="210" fontId="53" fillId="2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center" vertical="center" wrapText="1"/>
    </xf>
    <xf numFmtId="210" fontId="53" fillId="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right" vertical="center" wrapText="1" indent="1"/>
    </xf>
    <xf numFmtId="216" fontId="17" fillId="0" borderId="0" xfId="158" applyNumberFormat="1" applyFont="1"/>
    <xf numFmtId="216" fontId="18" fillId="0" borderId="0" xfId="158" applyNumberFormat="1" applyFont="1"/>
    <xf numFmtId="0" fontId="48" fillId="0" borderId="15" xfId="0" applyFont="1" applyBorder="1" applyAlignment="1">
      <alignment vertical="center"/>
    </xf>
    <xf numFmtId="210" fontId="62" fillId="0" borderId="11" xfId="0" applyNumberFormat="1" applyFont="1" applyFill="1" applyBorder="1" applyAlignment="1">
      <alignment horizontal="center" vertical="center" wrapText="1"/>
    </xf>
    <xf numFmtId="210" fontId="63" fillId="0" borderId="11" xfId="0" applyNumberFormat="1" applyFont="1" applyFill="1" applyBorder="1" applyAlignment="1">
      <alignment horizontal="right" vertical="center" wrapText="1"/>
    </xf>
    <xf numFmtId="210" fontId="59" fillId="0" borderId="11" xfId="0" applyNumberFormat="1" applyFont="1" applyFill="1" applyBorder="1" applyAlignment="1">
      <alignment horizontal="right" vertical="center" wrapText="1"/>
    </xf>
    <xf numFmtId="213" fontId="21" fillId="0" borderId="0" xfId="0" applyNumberFormat="1" applyFont="1" applyFill="1" applyAlignment="1">
      <alignment vertical="center"/>
    </xf>
    <xf numFmtId="0" fontId="53" fillId="0" borderId="16" xfId="160" applyFont="1" applyFill="1" applyBorder="1" applyAlignment="1">
      <alignment vertical="center"/>
    </xf>
    <xf numFmtId="0" fontId="53" fillId="0" borderId="17" xfId="160" applyFont="1" applyFill="1" applyBorder="1" applyAlignment="1">
      <alignment vertical="center"/>
    </xf>
    <xf numFmtId="210" fontId="52" fillId="0" borderId="18" xfId="0" applyNumberFormat="1" applyFont="1" applyBorder="1" applyAlignment="1">
      <alignment vertical="center"/>
    </xf>
    <xf numFmtId="0" fontId="53" fillId="0" borderId="19" xfId="160" applyFont="1" applyFill="1" applyBorder="1" applyAlignment="1">
      <alignment horizontal="center" vertical="center" wrapText="1"/>
    </xf>
    <xf numFmtId="0" fontId="53" fillId="0" borderId="20" xfId="160" applyFont="1" applyFill="1" applyBorder="1" applyAlignment="1">
      <alignment horizontal="center" vertical="center" wrapText="1"/>
    </xf>
    <xf numFmtId="0" fontId="53" fillId="0" borderId="21" xfId="160" applyFont="1" applyFill="1" applyBorder="1" applyAlignment="1">
      <alignment horizontal="center" vertical="center" wrapText="1"/>
    </xf>
    <xf numFmtId="0" fontId="53" fillId="0" borderId="16" xfId="160" applyFont="1" applyFill="1" applyBorder="1" applyAlignment="1">
      <alignment horizontal="center" vertical="center"/>
    </xf>
    <xf numFmtId="210" fontId="53" fillId="0" borderId="22" xfId="160" applyNumberFormat="1" applyFont="1" applyFill="1" applyBorder="1" applyAlignment="1">
      <alignment horizontal="right" vertical="center"/>
    </xf>
    <xf numFmtId="210" fontId="53" fillId="0" borderId="23" xfId="160" applyNumberFormat="1" applyFont="1" applyFill="1" applyBorder="1" applyAlignment="1">
      <alignment horizontal="right" vertical="center"/>
    </xf>
    <xf numFmtId="210" fontId="53" fillId="0" borderId="23" xfId="160" applyNumberFormat="1" applyFont="1" applyFill="1" applyBorder="1" applyAlignment="1">
      <alignment horizontal="center" vertical="center"/>
    </xf>
    <xf numFmtId="210" fontId="53" fillId="0" borderId="24" xfId="160" applyNumberFormat="1" applyFont="1" applyFill="1" applyBorder="1" applyAlignment="1">
      <alignment horizontal="right" vertical="center"/>
    </xf>
    <xf numFmtId="0" fontId="64" fillId="0" borderId="0" xfId="0" applyFont="1" applyAlignment="1">
      <alignment vertical="center"/>
    </xf>
    <xf numFmtId="196" fontId="64" fillId="0" borderId="0" xfId="0" applyNumberFormat="1" applyFont="1" applyAlignment="1">
      <alignment vertical="center"/>
    </xf>
    <xf numFmtId="196" fontId="64" fillId="0" borderId="0" xfId="0" applyNumberFormat="1" applyFont="1" applyAlignment="1">
      <alignment horizontal="right" vertical="center"/>
    </xf>
    <xf numFmtId="0" fontId="54" fillId="0" borderId="25" xfId="160" applyFont="1" applyBorder="1" applyAlignment="1">
      <alignment horizontal="center" vertical="center"/>
    </xf>
    <xf numFmtId="0" fontId="54" fillId="0" borderId="25" xfId="160" applyFont="1" applyBorder="1" applyAlignment="1">
      <alignment horizontal="left" vertical="center"/>
    </xf>
    <xf numFmtId="210" fontId="54" fillId="0" borderId="26" xfId="160" applyNumberFormat="1" applyFont="1" applyBorder="1" applyAlignment="1">
      <alignment horizontal="right" vertical="center"/>
    </xf>
    <xf numFmtId="210" fontId="54" fillId="0" borderId="27" xfId="160" applyNumberFormat="1" applyFont="1" applyBorder="1" applyAlignment="1">
      <alignment horizontal="right" vertical="center"/>
    </xf>
    <xf numFmtId="210" fontId="54" fillId="0" borderId="27" xfId="160" applyNumberFormat="1" applyFont="1" applyBorder="1" applyAlignment="1">
      <alignment horizontal="center" vertical="center"/>
    </xf>
    <xf numFmtId="210" fontId="54" fillId="0" borderId="28" xfId="160" applyNumberFormat="1" applyFont="1" applyBorder="1" applyAlignment="1">
      <alignment horizontal="right" vertical="center"/>
    </xf>
    <xf numFmtId="210" fontId="54" fillId="0" borderId="29" xfId="160" applyNumberFormat="1" applyFont="1" applyFill="1" applyBorder="1" applyAlignment="1">
      <alignment horizontal="right" vertical="center"/>
    </xf>
    <xf numFmtId="210" fontId="54" fillId="0" borderId="29" xfId="160" applyNumberFormat="1" applyFont="1" applyBorder="1" applyAlignment="1">
      <alignment horizontal="center" vertical="center"/>
    </xf>
    <xf numFmtId="210" fontId="54" fillId="0" borderId="30" xfId="160" applyNumberFormat="1" applyFont="1" applyBorder="1" applyAlignment="1">
      <alignment horizontal="right" vertical="center"/>
    </xf>
    <xf numFmtId="0" fontId="54" fillId="0" borderId="31" xfId="160" applyFont="1" applyBorder="1" applyAlignment="1">
      <alignment horizontal="center" vertical="center"/>
    </xf>
    <xf numFmtId="196" fontId="54" fillId="0" borderId="31" xfId="160" applyNumberFormat="1" applyFont="1" applyBorder="1" applyAlignment="1">
      <alignment horizontal="left" vertical="center"/>
    </xf>
    <xf numFmtId="210" fontId="54" fillId="0" borderId="32" xfId="160" applyNumberFormat="1" applyFont="1" applyBorder="1" applyAlignment="1">
      <alignment horizontal="right" vertical="center"/>
    </xf>
    <xf numFmtId="210" fontId="54" fillId="0" borderId="33" xfId="160" applyNumberFormat="1" applyFont="1" applyBorder="1" applyAlignment="1">
      <alignment horizontal="right" vertical="center"/>
    </xf>
    <xf numFmtId="210" fontId="54" fillId="0" borderId="33" xfId="160" applyNumberFormat="1" applyFont="1" applyBorder="1" applyAlignment="1">
      <alignment horizontal="center" vertical="center"/>
    </xf>
    <xf numFmtId="210" fontId="54" fillId="0" borderId="34" xfId="160" applyNumberFormat="1" applyFont="1" applyBorder="1" applyAlignment="1">
      <alignment horizontal="right" vertical="center"/>
    </xf>
    <xf numFmtId="210" fontId="54" fillId="0" borderId="33" xfId="160" applyNumberFormat="1" applyFont="1" applyFill="1" applyBorder="1" applyAlignment="1">
      <alignment horizontal="right" vertical="center"/>
    </xf>
    <xf numFmtId="0" fontId="54" fillId="0" borderId="35" xfId="160" applyFont="1" applyBorder="1" applyAlignment="1">
      <alignment horizontal="center" vertical="center"/>
    </xf>
    <xf numFmtId="196" fontId="54" fillId="0" borderId="35" xfId="160" applyNumberFormat="1" applyFont="1" applyBorder="1" applyAlignment="1">
      <alignment horizontal="left" vertical="center"/>
    </xf>
    <xf numFmtId="210" fontId="54" fillId="0" borderId="36" xfId="160" applyNumberFormat="1" applyFont="1" applyBorder="1" applyAlignment="1">
      <alignment horizontal="right" vertical="center"/>
    </xf>
    <xf numFmtId="210" fontId="54" fillId="0" borderId="37" xfId="160" applyNumberFormat="1" applyFont="1" applyBorder="1" applyAlignment="1">
      <alignment horizontal="right" vertical="center"/>
    </xf>
    <xf numFmtId="210" fontId="54" fillId="0" borderId="37" xfId="160" applyNumberFormat="1" applyFont="1" applyBorder="1" applyAlignment="1">
      <alignment horizontal="center" vertical="center"/>
    </xf>
    <xf numFmtId="210" fontId="54" fillId="0" borderId="38" xfId="160" applyNumberFormat="1" applyFont="1" applyBorder="1" applyAlignment="1">
      <alignment horizontal="right" vertical="center"/>
    </xf>
    <xf numFmtId="210" fontId="54" fillId="0" borderId="37" xfId="160" applyNumberFormat="1" applyFont="1" applyFill="1" applyBorder="1" applyAlignment="1">
      <alignment horizontal="right" vertical="center"/>
    </xf>
    <xf numFmtId="210" fontId="54" fillId="0" borderId="11" xfId="160" applyNumberFormat="1" applyFont="1" applyBorder="1" applyAlignment="1">
      <alignment horizontal="center" vertical="center"/>
    </xf>
    <xf numFmtId="210" fontId="54" fillId="0" borderId="39" xfId="160" applyNumberFormat="1" applyFont="1" applyBorder="1" applyAlignment="1">
      <alignment horizontal="right" vertical="center"/>
    </xf>
    <xf numFmtId="0" fontId="54" fillId="0" borderId="35" xfId="160" applyFont="1" applyBorder="1" applyAlignment="1">
      <alignment horizontal="left" vertical="center"/>
    </xf>
    <xf numFmtId="0" fontId="54" fillId="0" borderId="40" xfId="160" applyFont="1" applyBorder="1" applyAlignment="1">
      <alignment horizontal="center" vertical="center"/>
    </xf>
    <xf numFmtId="0" fontId="54" fillId="0" borderId="40" xfId="160" applyFont="1" applyBorder="1" applyAlignment="1">
      <alignment horizontal="left" vertical="center"/>
    </xf>
    <xf numFmtId="210" fontId="54" fillId="0" borderId="41" xfId="160" applyNumberFormat="1" applyFont="1" applyBorder="1" applyAlignment="1">
      <alignment horizontal="right" vertical="center"/>
    </xf>
    <xf numFmtId="210" fontId="54" fillId="0" borderId="29" xfId="160" applyNumberFormat="1" applyFont="1" applyBorder="1" applyAlignment="1">
      <alignment horizontal="right" vertical="center"/>
    </xf>
    <xf numFmtId="210" fontId="54" fillId="0" borderId="42" xfId="160" applyNumberFormat="1" applyFont="1" applyBorder="1" applyAlignment="1">
      <alignment horizontal="center" vertical="center"/>
    </xf>
    <xf numFmtId="210" fontId="54" fillId="0" borderId="43" xfId="160" applyNumberFormat="1" applyFont="1" applyBorder="1" applyAlignment="1">
      <alignment horizontal="right" vertical="center"/>
    </xf>
    <xf numFmtId="2" fontId="54" fillId="0" borderId="35" xfId="160" applyNumberFormat="1" applyFont="1" applyBorder="1" applyAlignment="1">
      <alignment horizontal="left" vertical="center"/>
    </xf>
    <xf numFmtId="210" fontId="54" fillId="0" borderId="44" xfId="160" applyNumberFormat="1" applyFont="1" applyBorder="1" applyAlignment="1">
      <alignment horizontal="right" vertical="center"/>
    </xf>
    <xf numFmtId="210" fontId="54" fillId="0" borderId="11" xfId="160" applyNumberFormat="1" applyFont="1" applyBorder="1" applyAlignment="1">
      <alignment horizontal="right" vertical="center"/>
    </xf>
    <xf numFmtId="210" fontId="54" fillId="0" borderId="11" xfId="160" applyNumberFormat="1" applyFont="1" applyFill="1" applyBorder="1" applyAlignment="1">
      <alignment horizontal="right" vertical="center"/>
    </xf>
    <xf numFmtId="196" fontId="54" fillId="0" borderId="40" xfId="160" applyNumberFormat="1" applyFont="1" applyBorder="1" applyAlignment="1">
      <alignment horizontal="left" vertical="center"/>
    </xf>
    <xf numFmtId="210" fontId="54" fillId="0" borderId="45" xfId="160" applyNumberFormat="1" applyFont="1" applyBorder="1" applyAlignment="1">
      <alignment horizontal="right" vertical="center"/>
    </xf>
    <xf numFmtId="210" fontId="54" fillId="0" borderId="42" xfId="160" applyNumberFormat="1" applyFont="1" applyBorder="1" applyAlignment="1">
      <alignment horizontal="right" vertical="center"/>
    </xf>
    <xf numFmtId="210" fontId="54" fillId="0" borderId="42" xfId="160" applyNumberFormat="1" applyFont="1" applyFill="1" applyBorder="1" applyAlignment="1">
      <alignment horizontal="right" vertical="center"/>
    </xf>
    <xf numFmtId="196" fontId="54" fillId="0" borderId="31" xfId="160" applyNumberFormat="1" applyFont="1" applyFill="1" applyBorder="1" applyAlignment="1">
      <alignment horizontal="left" vertical="center"/>
    </xf>
    <xf numFmtId="196" fontId="54" fillId="0" borderId="35" xfId="160" applyNumberFormat="1" applyFont="1" applyFill="1" applyBorder="1" applyAlignment="1">
      <alignment horizontal="left" vertical="center"/>
    </xf>
    <xf numFmtId="196" fontId="54" fillId="0" borderId="40" xfId="160" applyNumberFormat="1" applyFont="1" applyFill="1" applyBorder="1" applyAlignment="1">
      <alignment horizontal="left" vertical="center"/>
    </xf>
    <xf numFmtId="196" fontId="54" fillId="0" borderId="39" xfId="160" applyNumberFormat="1" applyFont="1" applyFill="1" applyBorder="1" applyAlignment="1">
      <alignment horizontal="left" vertical="center"/>
    </xf>
    <xf numFmtId="210" fontId="54" fillId="0" borderId="13" xfId="160" applyNumberFormat="1" applyFont="1" applyBorder="1" applyAlignment="1">
      <alignment horizontal="right" vertical="center"/>
    </xf>
    <xf numFmtId="0" fontId="54" fillId="0" borderId="14" xfId="160" applyFont="1" applyBorder="1" applyAlignment="1">
      <alignment horizontal="center" vertical="center"/>
    </xf>
    <xf numFmtId="0" fontId="54" fillId="0" borderId="46" xfId="160" applyFont="1" applyBorder="1" applyAlignment="1">
      <alignment horizontal="center" vertical="center"/>
    </xf>
    <xf numFmtId="196" fontId="54" fillId="0" borderId="47" xfId="160" applyNumberFormat="1" applyFont="1" applyFill="1" applyBorder="1" applyAlignment="1">
      <alignment horizontal="left" vertical="center"/>
    </xf>
    <xf numFmtId="210" fontId="54" fillId="0" borderId="48" xfId="160" applyNumberFormat="1" applyFont="1" applyBorder="1" applyAlignment="1">
      <alignment horizontal="right" vertical="center"/>
    </xf>
    <xf numFmtId="210" fontId="54" fillId="0" borderId="19" xfId="160" applyNumberFormat="1" applyFont="1" applyBorder="1" applyAlignment="1">
      <alignment horizontal="right" vertical="center"/>
    </xf>
    <xf numFmtId="210" fontId="54" fillId="0" borderId="23" xfId="160" applyNumberFormat="1" applyFont="1" applyBorder="1" applyAlignment="1">
      <alignment horizontal="center" vertical="center"/>
    </xf>
    <xf numFmtId="210" fontId="54" fillId="0" borderId="21" xfId="160" applyNumberFormat="1" applyFont="1" applyBorder="1" applyAlignment="1">
      <alignment horizontal="right" vertical="center"/>
    </xf>
    <xf numFmtId="210" fontId="54" fillId="0" borderId="19" xfId="160" applyNumberFormat="1" applyFont="1" applyFill="1" applyBorder="1" applyAlignment="1">
      <alignment horizontal="right" vertical="center"/>
    </xf>
    <xf numFmtId="210" fontId="54" fillId="0" borderId="19" xfId="160" applyNumberFormat="1" applyFont="1" applyBorder="1" applyAlignment="1">
      <alignment horizontal="center" vertical="center"/>
    </xf>
    <xf numFmtId="210" fontId="54" fillId="0" borderId="27" xfId="160" applyNumberFormat="1" applyFont="1" applyFill="1" applyBorder="1" applyAlignment="1">
      <alignment horizontal="right" vertical="center" indent="1"/>
    </xf>
    <xf numFmtId="210" fontId="54" fillId="0" borderId="27" xfId="160" applyNumberFormat="1" applyFont="1" applyFill="1" applyBorder="1" applyAlignment="1">
      <alignment horizontal="center" vertical="center"/>
    </xf>
    <xf numFmtId="210" fontId="54" fillId="0" borderId="28" xfId="160" applyNumberFormat="1" applyFont="1" applyFill="1" applyBorder="1" applyAlignment="1">
      <alignment horizontal="right" vertical="center" indent="1"/>
    </xf>
    <xf numFmtId="210" fontId="54" fillId="0" borderId="33" xfId="160" applyNumberFormat="1" applyFont="1" applyFill="1" applyBorder="1" applyAlignment="1">
      <alignment horizontal="right" vertical="center" indent="1"/>
    </xf>
    <xf numFmtId="210" fontId="54" fillId="0" borderId="33" xfId="160" applyNumberFormat="1" applyFont="1" applyFill="1" applyBorder="1" applyAlignment="1">
      <alignment horizontal="center" vertical="center"/>
    </xf>
    <xf numFmtId="210" fontId="54" fillId="0" borderId="34" xfId="160" applyNumberFormat="1" applyFont="1" applyFill="1" applyBorder="1" applyAlignment="1">
      <alignment horizontal="right" vertical="center" indent="1"/>
    </xf>
    <xf numFmtId="210" fontId="54" fillId="0" borderId="37" xfId="160" applyNumberFormat="1" applyFont="1" applyFill="1" applyBorder="1" applyAlignment="1">
      <alignment horizontal="right" vertical="center" indent="1"/>
    </xf>
    <xf numFmtId="210" fontId="54" fillId="0" borderId="11" xfId="160" applyNumberFormat="1" applyFont="1" applyFill="1" applyBorder="1" applyAlignment="1">
      <alignment horizontal="right" vertical="center" indent="1"/>
    </xf>
    <xf numFmtId="210" fontId="54" fillId="0" borderId="11" xfId="160" applyNumberFormat="1" applyFont="1" applyFill="1" applyBorder="1" applyAlignment="1">
      <alignment horizontal="center" vertical="center"/>
    </xf>
    <xf numFmtId="210" fontId="54" fillId="0" borderId="39" xfId="160" applyNumberFormat="1" applyFont="1" applyFill="1" applyBorder="1" applyAlignment="1">
      <alignment horizontal="right" vertical="center" indent="1"/>
    </xf>
    <xf numFmtId="0" fontId="54" fillId="0" borderId="35" xfId="160" applyFont="1" applyFill="1" applyBorder="1" applyAlignment="1">
      <alignment horizontal="left" vertical="center"/>
    </xf>
    <xf numFmtId="210" fontId="54" fillId="0" borderId="42" xfId="160" applyNumberFormat="1" applyFont="1" applyFill="1" applyBorder="1" applyAlignment="1">
      <alignment horizontal="right" vertical="center" indent="1"/>
    </xf>
    <xf numFmtId="210" fontId="54" fillId="0" borderId="42" xfId="160" applyNumberFormat="1" applyFont="1" applyFill="1" applyBorder="1" applyAlignment="1">
      <alignment horizontal="center" vertical="center"/>
    </xf>
    <xf numFmtId="210" fontId="54" fillId="0" borderId="43" xfId="160" applyNumberFormat="1" applyFont="1" applyFill="1" applyBorder="1" applyAlignment="1">
      <alignment horizontal="right" vertical="center" indent="1"/>
    </xf>
    <xf numFmtId="0" fontId="54" fillId="0" borderId="47" xfId="160" applyFont="1" applyBorder="1" applyAlignment="1">
      <alignment horizontal="center" vertical="center"/>
    </xf>
    <xf numFmtId="210" fontId="54" fillId="0" borderId="19" xfId="160" applyNumberFormat="1" applyFont="1" applyFill="1" applyBorder="1" applyAlignment="1">
      <alignment horizontal="right" vertical="center" indent="1"/>
    </xf>
    <xf numFmtId="210" fontId="54" fillId="0" borderId="19" xfId="160" applyNumberFormat="1" applyFont="1" applyFill="1" applyBorder="1" applyAlignment="1">
      <alignment horizontal="center" vertical="center"/>
    </xf>
    <xf numFmtId="210" fontId="54" fillId="0" borderId="21" xfId="160" applyNumberFormat="1" applyFont="1" applyFill="1" applyBorder="1" applyAlignment="1">
      <alignment horizontal="right" vertical="center" indent="1"/>
    </xf>
    <xf numFmtId="0" fontId="54" fillId="0" borderId="49" xfId="160" applyFont="1" applyBorder="1" applyAlignment="1">
      <alignment horizontal="center" vertical="center"/>
    </xf>
    <xf numFmtId="0" fontId="54" fillId="0" borderId="50" xfId="160" applyFont="1" applyBorder="1" applyAlignment="1">
      <alignment horizontal="center" vertical="center"/>
    </xf>
    <xf numFmtId="0" fontId="54" fillId="0" borderId="51" xfId="160" applyFont="1" applyBorder="1" applyAlignment="1">
      <alignment horizontal="center" vertical="center"/>
    </xf>
    <xf numFmtId="210" fontId="54" fillId="0" borderId="44" xfId="160" applyNumberFormat="1" applyFont="1" applyFill="1" applyBorder="1" applyAlignment="1">
      <alignment horizontal="right" vertical="center" indent="1"/>
    </xf>
    <xf numFmtId="210" fontId="54" fillId="0" borderId="13" xfId="160" applyNumberFormat="1" applyFont="1" applyFill="1" applyBorder="1" applyAlignment="1">
      <alignment horizontal="right" vertical="center" indent="1"/>
    </xf>
    <xf numFmtId="0" fontId="54" fillId="0" borderId="52" xfId="160" applyFont="1" applyBorder="1" applyAlignment="1">
      <alignment horizontal="center" vertical="center"/>
    </xf>
    <xf numFmtId="210" fontId="54" fillId="0" borderId="53" xfId="160" applyNumberFormat="1" applyFont="1" applyFill="1" applyBorder="1" applyAlignment="1">
      <alignment horizontal="right" vertical="center" indent="1"/>
    </xf>
    <xf numFmtId="0" fontId="53" fillId="0" borderId="54" xfId="160" applyFont="1" applyFill="1" applyBorder="1" applyAlignment="1">
      <alignment horizontal="center" vertical="center"/>
    </xf>
    <xf numFmtId="210" fontId="53" fillId="0" borderId="55" xfId="160" applyNumberFormat="1" applyFont="1" applyFill="1" applyBorder="1" applyAlignment="1">
      <alignment horizontal="right" vertical="center" indent="1"/>
    </xf>
    <xf numFmtId="210" fontId="53" fillId="0" borderId="56" xfId="160" applyNumberFormat="1" applyFont="1" applyFill="1" applyBorder="1" applyAlignment="1">
      <alignment horizontal="right" vertical="center" indent="1"/>
    </xf>
    <xf numFmtId="210" fontId="53" fillId="0" borderId="56" xfId="160" applyNumberFormat="1" applyFont="1" applyFill="1" applyBorder="1" applyAlignment="1">
      <alignment horizontal="center" vertical="center"/>
    </xf>
    <xf numFmtId="210" fontId="53" fillId="0" borderId="57" xfId="160" applyNumberFormat="1" applyFont="1" applyFill="1" applyBorder="1" applyAlignment="1">
      <alignment horizontal="right" vertical="center" indent="1"/>
    </xf>
    <xf numFmtId="210" fontId="65" fillId="0" borderId="11" xfId="0" applyNumberFormat="1" applyFont="1" applyFill="1" applyBorder="1" applyAlignment="1">
      <alignment horizontal="center" vertical="center" wrapText="1"/>
    </xf>
    <xf numFmtId="210" fontId="54" fillId="21" borderId="0" xfId="160" applyNumberFormat="1" applyFont="1" applyFill="1" applyBorder="1" applyAlignment="1">
      <alignment horizontal="right" vertical="center" indent="1"/>
    </xf>
    <xf numFmtId="210" fontId="66" fillId="0" borderId="0" xfId="0" applyNumberFormat="1" applyFont="1" applyAlignment="1">
      <alignment vertical="center"/>
    </xf>
    <xf numFmtId="196" fontId="53" fillId="0" borderId="35" xfId="160" applyNumberFormat="1" applyFont="1" applyBorder="1" applyAlignment="1">
      <alignment horizontal="left" vertical="center"/>
    </xf>
    <xf numFmtId="210" fontId="53" fillId="0" borderId="11" xfId="160" applyNumberFormat="1" applyFont="1" applyFill="1" applyBorder="1" applyAlignment="1">
      <alignment horizontal="center" vertical="center"/>
    </xf>
    <xf numFmtId="0" fontId="53" fillId="0" borderId="35" xfId="160" applyFont="1" applyBorder="1" applyAlignment="1">
      <alignment horizontal="left" vertical="center"/>
    </xf>
    <xf numFmtId="196" fontId="53" fillId="0" borderId="47" xfId="160" applyNumberFormat="1" applyFont="1" applyBorder="1" applyAlignment="1">
      <alignment horizontal="left" vertical="center"/>
    </xf>
    <xf numFmtId="210" fontId="53" fillId="0" borderId="19" xfId="160" applyNumberFormat="1" applyFont="1" applyFill="1" applyBorder="1" applyAlignment="1">
      <alignment horizontal="center" vertical="center"/>
    </xf>
    <xf numFmtId="196" fontId="53" fillId="0" borderId="31" xfId="160" applyNumberFormat="1" applyFont="1" applyFill="1" applyBorder="1" applyAlignment="1">
      <alignment horizontal="left" vertical="center"/>
    </xf>
    <xf numFmtId="196" fontId="53" fillId="0" borderId="35" xfId="160" applyNumberFormat="1" applyFont="1" applyFill="1" applyBorder="1" applyAlignment="1">
      <alignment horizontal="left" vertical="center"/>
    </xf>
    <xf numFmtId="210" fontId="53" fillId="0" borderId="33" xfId="160" applyNumberFormat="1" applyFont="1" applyFill="1" applyBorder="1" applyAlignment="1">
      <alignment horizontal="center" vertical="center"/>
    </xf>
    <xf numFmtId="196" fontId="53" fillId="0" borderId="40" xfId="160" applyNumberFormat="1" applyFont="1" applyFill="1" applyBorder="1" applyAlignment="1">
      <alignment horizontal="left" vertical="center"/>
    </xf>
    <xf numFmtId="210" fontId="53" fillId="0" borderId="42" xfId="160" applyNumberFormat="1" applyFont="1" applyFill="1" applyBorder="1" applyAlignment="1">
      <alignment horizontal="center" vertical="center"/>
    </xf>
    <xf numFmtId="0" fontId="51" fillId="0" borderId="14" xfId="0" applyFont="1" applyBorder="1" applyAlignment="1">
      <alignment horizontal="left" vertical="center" wrapText="1" indent="1"/>
    </xf>
    <xf numFmtId="0" fontId="51" fillId="0" borderId="13" xfId="0" applyFont="1" applyBorder="1" applyAlignment="1">
      <alignment horizontal="left" vertical="center" wrapText="1" indent="1"/>
    </xf>
    <xf numFmtId="0" fontId="51" fillId="0" borderId="11" xfId="0" applyFont="1" applyBorder="1" applyAlignment="1">
      <alignment horizontal="left" vertical="center" wrapText="1" indent="1"/>
    </xf>
    <xf numFmtId="0" fontId="61" fillId="0" borderId="14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54" fillId="0" borderId="42" xfId="0" applyFont="1" applyFill="1" applyBorder="1" applyAlignment="1">
      <alignment horizontal="center" vertical="center" wrapText="1"/>
    </xf>
    <xf numFmtId="0" fontId="54" fillId="0" borderId="37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vertical="center" wrapText="1"/>
    </xf>
    <xf numFmtId="0" fontId="58" fillId="0" borderId="13" xfId="0" applyFont="1" applyFill="1" applyBorder="1" applyAlignment="1">
      <alignment vertical="center" wrapText="1"/>
    </xf>
    <xf numFmtId="0" fontId="53" fillId="0" borderId="14" xfId="0" applyFont="1" applyBorder="1" applyAlignment="1">
      <alignment horizontal="left" vertical="center" wrapText="1"/>
    </xf>
    <xf numFmtId="0" fontId="53" fillId="0" borderId="13" xfId="0" applyFont="1" applyBorder="1" applyAlignment="1">
      <alignment horizontal="left" vertical="center" wrapText="1"/>
    </xf>
    <xf numFmtId="0" fontId="54" fillId="0" borderId="52" xfId="0" applyFont="1" applyBorder="1" applyAlignment="1">
      <alignment horizontal="center" vertical="center" wrapText="1"/>
    </xf>
    <xf numFmtId="0" fontId="54" fillId="0" borderId="53" xfId="0" applyFont="1" applyBorder="1" applyAlignment="1">
      <alignment horizontal="center" vertical="center" wrapText="1"/>
    </xf>
    <xf numFmtId="0" fontId="54" fillId="0" borderId="58" xfId="0" applyFont="1" applyBorder="1" applyAlignment="1">
      <alignment horizontal="center" vertical="center" wrapText="1"/>
    </xf>
    <xf numFmtId="0" fontId="54" fillId="0" borderId="59" xfId="0" applyFont="1" applyBorder="1" applyAlignment="1">
      <alignment horizontal="center" vertical="center" wrapText="1"/>
    </xf>
    <xf numFmtId="0" fontId="52" fillId="0" borderId="42" xfId="0" applyFont="1" applyFill="1" applyBorder="1" applyAlignment="1">
      <alignment horizontal="center" vertical="center" wrapText="1"/>
    </xf>
    <xf numFmtId="0" fontId="52" fillId="0" borderId="37" xfId="0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 vertical="center" wrapText="1"/>
    </xf>
    <xf numFmtId="0" fontId="54" fillId="20" borderId="42" xfId="0" applyFont="1" applyFill="1" applyBorder="1" applyAlignment="1">
      <alignment horizontal="center" vertical="center" wrapText="1"/>
    </xf>
    <xf numFmtId="0" fontId="54" fillId="20" borderId="37" xfId="0" applyFont="1" applyFill="1" applyBorder="1" applyAlignment="1">
      <alignment horizontal="center" vertical="center" wrapText="1"/>
    </xf>
    <xf numFmtId="0" fontId="52" fillId="19" borderId="14" xfId="0" applyFont="1" applyFill="1" applyBorder="1" applyAlignment="1">
      <alignment horizontal="center" vertical="center" wrapText="1"/>
    </xf>
    <xf numFmtId="0" fontId="52" fillId="19" borderId="13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wrapText="1"/>
    </xf>
    <xf numFmtId="0" fontId="53" fillId="0" borderId="27" xfId="160" applyFont="1" applyFill="1" applyBorder="1" applyAlignment="1">
      <alignment horizontal="center" vertical="center" wrapText="1"/>
    </xf>
    <xf numFmtId="0" fontId="53" fillId="0" borderId="23" xfId="160" applyFont="1" applyFill="1" applyBorder="1" applyAlignment="1">
      <alignment horizontal="center" vertical="center" wrapText="1"/>
    </xf>
    <xf numFmtId="0" fontId="53" fillId="0" borderId="60" xfId="160" applyFont="1" applyBorder="1" applyAlignment="1">
      <alignment horizontal="center" vertical="center" wrapText="1"/>
    </xf>
    <xf numFmtId="0" fontId="53" fillId="0" borderId="16" xfId="160" applyFont="1" applyBorder="1" applyAlignment="1">
      <alignment horizontal="center" vertical="center" wrapText="1"/>
    </xf>
    <xf numFmtId="0" fontId="53" fillId="0" borderId="34" xfId="160" applyFont="1" applyFill="1" applyBorder="1" applyAlignment="1">
      <alignment horizontal="center" vertical="center" wrapText="1"/>
    </xf>
    <xf numFmtId="0" fontId="53" fillId="0" borderId="31" xfId="0" applyFont="1" applyBorder="1" applyAlignment="1">
      <alignment horizontal="center" vertical="center" wrapText="1"/>
    </xf>
    <xf numFmtId="0" fontId="53" fillId="0" borderId="23" xfId="0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 wrapText="1"/>
    </xf>
    <xf numFmtId="0" fontId="53" fillId="0" borderId="61" xfId="0" applyFont="1" applyFill="1" applyBorder="1" applyAlignment="1">
      <alignment horizontal="center" vertical="center" wrapText="1"/>
    </xf>
    <xf numFmtId="0" fontId="53" fillId="0" borderId="62" xfId="0" applyFont="1" applyFill="1" applyBorder="1" applyAlignment="1">
      <alignment horizontal="center" vertical="center" wrapText="1"/>
    </xf>
    <xf numFmtId="0" fontId="53" fillId="0" borderId="25" xfId="160" applyFont="1" applyBorder="1" applyAlignment="1">
      <alignment horizontal="center" vertical="center" wrapText="1"/>
    </xf>
    <xf numFmtId="0" fontId="53" fillId="0" borderId="26" xfId="160" applyFont="1" applyFill="1" applyBorder="1" applyAlignment="1">
      <alignment horizontal="center" vertical="center" wrapText="1"/>
    </xf>
    <xf numFmtId="0" fontId="53" fillId="0" borderId="22" xfId="160" applyFont="1" applyFill="1" applyBorder="1" applyAlignment="1">
      <alignment horizontal="center" vertical="center" wrapText="1"/>
    </xf>
    <xf numFmtId="0" fontId="53" fillId="0" borderId="33" xfId="160" applyFont="1" applyFill="1" applyBorder="1" applyAlignment="1">
      <alignment horizontal="center" vertical="center" wrapText="1"/>
    </xf>
  </cellXfs>
  <cellStyles count="177">
    <cellStyle name="?’ЋѓЋ‚›‰" xfId="7"/>
    <cellStyle name="_Derg0103_pooblasti2" xfId="8"/>
    <cellStyle name="_Derg0103_poray" xfId="9"/>
    <cellStyle name="_Veresen_derg" xfId="10"/>
    <cellStyle name="_Veresen_derg_Derg0103_pooblasti" xfId="11"/>
    <cellStyle name="_Вик01102002 держ" xfId="12"/>
    <cellStyle name="_Вик01102002 держ_Derg0103_pooblasti" xfId="13"/>
    <cellStyle name="_Книга1" xfId="14"/>
    <cellStyle name="_Книга1_Derg0103_pooblasti" xfId="15"/>
    <cellStyle name="_ПНП" xfId="16"/>
    <cellStyle name="_ПНП_Derg0103_pooblasti" xfId="17"/>
    <cellStyle name="_Прогноз ДМ по районах" xfId="18"/>
    <cellStyle name="_Прогноз ДМ по районах_Derg0103_pooblasti" xfId="19"/>
    <cellStyle name="”?ЌЂЌ‘Ћ‚›‰" xfId="21"/>
    <cellStyle name="”?Љ‘?ђЋ‚ЂЌЌ›‰" xfId="22"/>
    <cellStyle name="”€ЌЂЌ‘Ћ‚›‰" xfId="23"/>
    <cellStyle name="”€Љ‘€ђЋ‚ЂЌЌ›‰" xfId="24"/>
    <cellStyle name="”ЌЂЌ‘Ћ‚›‰" xfId="25"/>
    <cellStyle name="”Љ‘ђЋ‚ЂЌЌ›‰" xfId="26"/>
    <cellStyle name="„…Ќ…†Ќ›‰" xfId="27"/>
    <cellStyle name="€’ЋѓЋ‚›‰" xfId="30"/>
    <cellStyle name="‡ЂѓЋ‹Ћ‚ЋЉ1" xfId="28"/>
    <cellStyle name="‡ЂѓЋ‹Ћ‚ЋЉ2" xfId="29"/>
    <cellStyle name="’ЋѓЋ‚›‰" xfId="20"/>
    <cellStyle name="" xfId="2"/>
    <cellStyle name="" xfId="3"/>
    <cellStyle name="" xfId="4"/>
    <cellStyle name="" xfId="5"/>
    <cellStyle name="" xfId="6"/>
    <cellStyle name="1" xfId="31"/>
    <cellStyle name="2" xfId="32"/>
    <cellStyle name="20% - Акцент1" xfId="33" builtinId="30" customBuiltin="1"/>
    <cellStyle name="20% - Акцент2" xfId="34" builtinId="34" customBuiltin="1"/>
    <cellStyle name="20% - Акцент3" xfId="35" builtinId="38" customBuiltin="1"/>
    <cellStyle name="20% - Акцент4" xfId="36" builtinId="42" customBuiltin="1"/>
    <cellStyle name="20% - Акцент5" xfId="37" builtinId="46" customBuiltin="1"/>
    <cellStyle name="20% - Акцент6" xfId="38" builtinId="50" customBuiltin="1"/>
    <cellStyle name="20% – Акцентування1" xfId="39"/>
    <cellStyle name="20% – Акцентування2" xfId="40"/>
    <cellStyle name="20% – Акцентування3" xfId="41"/>
    <cellStyle name="20% – Акцентування4" xfId="42"/>
    <cellStyle name="20% – Акцентування5" xfId="43"/>
    <cellStyle name="20% – Акцентування6" xfId="44"/>
    <cellStyle name="40% - Акцент1" xfId="45" builtinId="31" customBuiltin="1"/>
    <cellStyle name="40% - Акцент2" xfId="46" builtinId="35" customBuiltin="1"/>
    <cellStyle name="40% - Акцент3" xfId="47" builtinId="39" customBuiltin="1"/>
    <cellStyle name="40% - Акцент4" xfId="48" builtinId="43" customBuiltin="1"/>
    <cellStyle name="40% - Акцент5" xfId="49" builtinId="47" customBuiltin="1"/>
    <cellStyle name="40% - Акцент6" xfId="50" builtinId="51" customBuiltin="1"/>
    <cellStyle name="40% – Акцентування1" xfId="51"/>
    <cellStyle name="40% – Акцентування2" xfId="52"/>
    <cellStyle name="40% – Акцентування3" xfId="53"/>
    <cellStyle name="40% – Акцентування4" xfId="54"/>
    <cellStyle name="40% – Акцентування5" xfId="55"/>
    <cellStyle name="40% – Акцентування6" xfId="56"/>
    <cellStyle name="60% - Акцент1" xfId="57" builtinId="32" customBuiltin="1"/>
    <cellStyle name="60% - Акцент2" xfId="58" builtinId="36" customBuiltin="1"/>
    <cellStyle name="60% - Акцент3" xfId="59" builtinId="40" customBuiltin="1"/>
    <cellStyle name="60% - Акцент4" xfId="60" builtinId="44" customBuiltin="1"/>
    <cellStyle name="60% - Акцент5" xfId="61" builtinId="48" customBuiltin="1"/>
    <cellStyle name="60% - Акцент6" xfId="62" builtinId="52" customBuiltin="1"/>
    <cellStyle name="60% – Акцентування1" xfId="63"/>
    <cellStyle name="60% – Акцентування2" xfId="64"/>
    <cellStyle name="60% – Акцентування3" xfId="65"/>
    <cellStyle name="60% – Акцентування4" xfId="66"/>
    <cellStyle name="60% – Акцентування5" xfId="67"/>
    <cellStyle name="60% – Акцентування6" xfId="68"/>
    <cellStyle name="Aaia?iue [0]_laroux" xfId="69"/>
    <cellStyle name="Aaia?iue_laroux" xfId="70"/>
    <cellStyle name="C?O" xfId="71"/>
    <cellStyle name="Cena$" xfId="72"/>
    <cellStyle name="CenaZ?" xfId="73"/>
    <cellStyle name="Ceny$" xfId="74"/>
    <cellStyle name="CenyZ?" xfId="75"/>
    <cellStyle name="Comma [0]_1996-1997-план 10 місяців" xfId="76"/>
    <cellStyle name="Comma_1996-1997-план 10 місяців" xfId="77"/>
    <cellStyle name="Currency [0]_1996-1997-план 10 місяців" xfId="78"/>
    <cellStyle name="Currency_1996-1997-план 10 місяців" xfId="79"/>
    <cellStyle name="Data" xfId="80"/>
    <cellStyle name="Dziesietny [0]_Arkusz1" xfId="81"/>
    <cellStyle name="Dziesietny_Arkusz1" xfId="82"/>
    <cellStyle name="Followed Hyperlink" xfId="83"/>
    <cellStyle name="Headline I" xfId="84"/>
    <cellStyle name="Headline II" xfId="85"/>
    <cellStyle name="Headline III" xfId="86"/>
    <cellStyle name="Hyperlink" xfId="87"/>
    <cellStyle name="Iau?iue_laroux" xfId="88"/>
    <cellStyle name="Marza" xfId="89"/>
    <cellStyle name="Marza%" xfId="90"/>
    <cellStyle name="Marza_Derg0103_pooblasti2" xfId="91"/>
    <cellStyle name="Nazwa" xfId="92"/>
    <cellStyle name="Normal_1996-1997-план 10 місяців" xfId="93"/>
    <cellStyle name="normalni_laroux" xfId="94"/>
    <cellStyle name="Normalny_A-FOUR TECH" xfId="95"/>
    <cellStyle name="Oeiainiaue [0]_laroux" xfId="96"/>
    <cellStyle name="Oeiainiaue_laroux" xfId="97"/>
    <cellStyle name="TrOds" xfId="98"/>
    <cellStyle name="Tytul" xfId="99"/>
    <cellStyle name="Walutowy [0]_Arkusz1" xfId="100"/>
    <cellStyle name="Walutowy_Arkusz1" xfId="101"/>
    <cellStyle name="Акцент1" xfId="102" builtinId="29" customBuiltin="1"/>
    <cellStyle name="Акцент2" xfId="103" builtinId="33" customBuiltin="1"/>
    <cellStyle name="Акцент3" xfId="104" builtinId="37" customBuiltin="1"/>
    <cellStyle name="Акцент4" xfId="105" builtinId="41" customBuiltin="1"/>
    <cellStyle name="Акцент5" xfId="106" builtinId="45" customBuiltin="1"/>
    <cellStyle name="Акцент6" xfId="107" builtinId="49" customBuiltin="1"/>
    <cellStyle name="Акцентування1" xfId="108"/>
    <cellStyle name="Акцентування2" xfId="109"/>
    <cellStyle name="Акцентування3" xfId="110"/>
    <cellStyle name="Акцентування4" xfId="111"/>
    <cellStyle name="Акцентування5" xfId="112"/>
    <cellStyle name="Акцентування6" xfId="113"/>
    <cellStyle name="Ввід" xfId="114"/>
    <cellStyle name="Ввод " xfId="115" builtinId="20" customBuiltin="1"/>
    <cellStyle name="Вывод" xfId="116" builtinId="21" customBuiltin="1"/>
    <cellStyle name="Вычисление" xfId="117" builtinId="22" customBuiltin="1"/>
    <cellStyle name="Добре" xfId="118"/>
    <cellStyle name="Заголовок 1" xfId="119" builtinId="16" customBuiltin="1"/>
    <cellStyle name="Заголовок 2" xfId="120" builtinId="17" customBuiltin="1"/>
    <cellStyle name="Заголовок 3" xfId="121" builtinId="18" customBuiltin="1"/>
    <cellStyle name="Заголовок 4" xfId="122" builtinId="19" customBuiltin="1"/>
    <cellStyle name="Звичайний 10" xfId="123"/>
    <cellStyle name="Звичайний 11" xfId="124"/>
    <cellStyle name="Звичайний 2" xfId="125"/>
    <cellStyle name="Звичайний 3" xfId="126"/>
    <cellStyle name="Звичайний 4" xfId="127"/>
    <cellStyle name="Звичайний 5" xfId="128"/>
    <cellStyle name="Звичайний 6" xfId="129"/>
    <cellStyle name="Звичайний 7" xfId="130"/>
    <cellStyle name="Звичайний 8" xfId="131"/>
    <cellStyle name="Звичайний 9" xfId="132"/>
    <cellStyle name="Зв'язана клітинка" xfId="133"/>
    <cellStyle name="Итог" xfId="134" builtinId="25" customBuiltin="1"/>
    <cellStyle name="Контрольна клітинка" xfId="135"/>
    <cellStyle name="Контрольная ячейка" xfId="136" builtinId="23" customBuiltin="1"/>
    <cellStyle name="Назва" xfId="137"/>
    <cellStyle name="Название" xfId="138" builtinId="15" customBuiltin="1"/>
    <cellStyle name="Нейтральный" xfId="139" builtinId="28" customBuiltin="1"/>
    <cellStyle name="Обчислення" xfId="140"/>
    <cellStyle name="Обычный" xfId="0" builtinId="0"/>
    <cellStyle name="Обычный 10" xfId="141"/>
    <cellStyle name="Обычный 11" xfId="142"/>
    <cellStyle name="Обычный 12" xfId="143"/>
    <cellStyle name="Обычный 13" xfId="144"/>
    <cellStyle name="Обычный 14" xfId="145"/>
    <cellStyle name="Обычный 15" xfId="146"/>
    <cellStyle name="Обычный 16" xfId="147"/>
    <cellStyle name="Обычный 17" xfId="148"/>
    <cellStyle name="Обычный 18" xfId="149"/>
    <cellStyle name="Обычный 2" xfId="150"/>
    <cellStyle name="Обычный 3" xfId="151"/>
    <cellStyle name="Обычный 4" xfId="152"/>
    <cellStyle name="Обычный 5" xfId="153"/>
    <cellStyle name="Обычный 6" xfId="154"/>
    <cellStyle name="Обычный 7" xfId="155"/>
    <cellStyle name="Обычный 8" xfId="156"/>
    <cellStyle name="Обычный 9" xfId="157"/>
    <cellStyle name="Обычный_lviv" xfId="158"/>
    <cellStyle name="Обычный_Вл закр на 01032003(затвбюджети)" xfId="159"/>
    <cellStyle name="Обычный_Таблиця" xfId="160"/>
    <cellStyle name="Підсумок" xfId="161"/>
    <cellStyle name="Плохой" xfId="162" builtinId="27" customBuiltin="1"/>
    <cellStyle name="Поганий" xfId="163"/>
    <cellStyle name="Пояснение" xfId="164" builtinId="53" customBuiltin="1"/>
    <cellStyle name="Примечание" xfId="165" builtinId="10" customBuiltin="1"/>
    <cellStyle name="Примітка" xfId="166"/>
    <cellStyle name="Результат" xfId="167"/>
    <cellStyle name="Связанная ячейка" xfId="168" builtinId="24" customBuiltin="1"/>
    <cellStyle name="Середній" xfId="169"/>
    <cellStyle name="Стиль 1" xfId="1"/>
    <cellStyle name="Текст попередження" xfId="170"/>
    <cellStyle name="Текст пояснення" xfId="171"/>
    <cellStyle name="Текст предупреждения" xfId="172" builtinId="11" customBuiltin="1"/>
    <cellStyle name="Тысячи [0]_Розподіл (2)" xfId="173"/>
    <cellStyle name="Тысячи_бюджет 1998 по клас." xfId="174"/>
    <cellStyle name="Хороший" xfId="175" builtinId="26" customBuiltin="1"/>
    <cellStyle name="ЏђЋ–…Ќ’Ќ›‰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2006\MFU2006\&#1060;&#1072;&#1082;&#1090;\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6\minimiz\6m2006\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My%20dokum\1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OHOD-~1\LOCALS~1\Temp\$wc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BAZA_MFU_05\&#1060;&#1040;&#1050;&#1058;\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5;&#1086;&#1084;&#1072;&#1088;&#1100;&#1086;&#1074;&#1072;\INDEX\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1"/>
  <dimension ref="A1:M37"/>
  <sheetViews>
    <sheetView zoomScaleSheetLayoutView="100" workbookViewId="0">
      <pane ySplit="4" topLeftCell="A5" activePane="bottomLeft" state="frozen"/>
      <selection pane="bottomLeft" activeCell="L13" sqref="L13"/>
    </sheetView>
  </sheetViews>
  <sheetFormatPr defaultColWidth="9.109375" defaultRowHeight="13.2"/>
  <cols>
    <col min="1" max="1" width="6.6640625" style="2" customWidth="1"/>
    <col min="2" max="2" width="48.5546875" style="2" customWidth="1"/>
    <col min="3" max="3" width="18" style="2" customWidth="1"/>
    <col min="4" max="4" width="17.88671875" style="6" customWidth="1"/>
    <col min="5" max="5" width="18" style="3" customWidth="1"/>
    <col min="6" max="6" width="18.33203125" style="7" customWidth="1"/>
    <col min="7" max="7" width="18.44140625" style="1" customWidth="1"/>
    <col min="8" max="8" width="17.6640625" style="2" customWidth="1"/>
    <col min="9" max="9" width="13.6640625" style="2" customWidth="1"/>
    <col min="10" max="10" width="19.88671875" style="2" customWidth="1"/>
    <col min="11" max="11" width="13.109375" style="2" customWidth="1"/>
    <col min="12" max="12" width="13" style="2" customWidth="1"/>
    <col min="13" max="13" width="19" style="2" customWidth="1"/>
    <col min="14" max="16384" width="9.109375" style="2"/>
  </cols>
  <sheetData>
    <row r="1" spans="1:13" ht="18.75" customHeight="1">
      <c r="A1" s="235" t="s">
        <v>121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30" customHeight="1">
      <c r="A2" s="61"/>
      <c r="B2" s="61"/>
      <c r="C2" s="62"/>
      <c r="D2" s="62"/>
      <c r="E2" s="62"/>
      <c r="F2" s="62"/>
      <c r="G2" s="63"/>
      <c r="H2" s="64"/>
      <c r="I2" s="65"/>
      <c r="J2" s="64"/>
      <c r="K2" s="47"/>
      <c r="L2" s="65"/>
      <c r="M2" s="47" t="s">
        <v>57</v>
      </c>
    </row>
    <row r="3" spans="1:13" ht="49.5" customHeight="1">
      <c r="A3" s="229" t="s">
        <v>21</v>
      </c>
      <c r="B3" s="230"/>
      <c r="C3" s="223" t="s">
        <v>89</v>
      </c>
      <c r="D3" s="236" t="s">
        <v>65</v>
      </c>
      <c r="E3" s="233" t="s">
        <v>90</v>
      </c>
      <c r="F3" s="223" t="s">
        <v>115</v>
      </c>
      <c r="G3" s="223" t="s">
        <v>116</v>
      </c>
      <c r="H3" s="236" t="s">
        <v>91</v>
      </c>
      <c r="I3" s="238" t="s">
        <v>92</v>
      </c>
      <c r="J3" s="239"/>
      <c r="K3" s="233" t="s">
        <v>93</v>
      </c>
      <c r="L3" s="238" t="s">
        <v>117</v>
      </c>
      <c r="M3" s="239"/>
    </row>
    <row r="4" spans="1:13" s="4" customFormat="1" ht="39" customHeight="1">
      <c r="A4" s="231"/>
      <c r="B4" s="232"/>
      <c r="C4" s="224"/>
      <c r="D4" s="237"/>
      <c r="E4" s="234"/>
      <c r="F4" s="224"/>
      <c r="G4" s="224"/>
      <c r="H4" s="237"/>
      <c r="I4" s="48" t="s">
        <v>0</v>
      </c>
      <c r="J4" s="49" t="s">
        <v>1</v>
      </c>
      <c r="K4" s="234"/>
      <c r="L4" s="48" t="s">
        <v>0</v>
      </c>
      <c r="M4" s="48" t="s">
        <v>1</v>
      </c>
    </row>
    <row r="5" spans="1:13" s="5" customFormat="1" ht="30" customHeight="1">
      <c r="A5" s="227" t="s">
        <v>22</v>
      </c>
      <c r="B5" s="228"/>
      <c r="C5" s="95">
        <f>C6+C22</f>
        <v>37720826.054930001</v>
      </c>
      <c r="D5" s="96">
        <f>D6+D22</f>
        <v>5405445.2902300004</v>
      </c>
      <c r="E5" s="97">
        <f t="shared" ref="E5:E30" si="0">D5/C5*100</f>
        <v>14.330134982617976</v>
      </c>
      <c r="F5" s="95"/>
      <c r="G5" s="98"/>
      <c r="H5" s="96">
        <f>H6+H22</f>
        <v>6200114.2288799994</v>
      </c>
      <c r="I5" s="97">
        <f t="shared" ref="I5:I11" si="1">H5/D5*100</f>
        <v>114.7012668888965</v>
      </c>
      <c r="J5" s="99">
        <f>H5-D5</f>
        <v>794668.93864999898</v>
      </c>
      <c r="K5" s="97"/>
      <c r="L5" s="97"/>
      <c r="M5" s="99"/>
    </row>
    <row r="6" spans="1:13" s="5" customFormat="1" ht="30" customHeight="1">
      <c r="A6" s="221" t="s">
        <v>23</v>
      </c>
      <c r="B6" s="222"/>
      <c r="C6" s="89">
        <f>C7+C16</f>
        <v>13309958.82601</v>
      </c>
      <c r="D6" s="90">
        <f>D7+D16</f>
        <v>1720926.9508099998</v>
      </c>
      <c r="E6" s="91">
        <f t="shared" si="0"/>
        <v>12.929618891434929</v>
      </c>
      <c r="F6" s="89">
        <f>F7+F16</f>
        <v>14738418.445000006</v>
      </c>
      <c r="G6" s="205"/>
      <c r="H6" s="90">
        <f>H7+H16</f>
        <v>2108910.4728399999</v>
      </c>
      <c r="I6" s="91">
        <f t="shared" si="1"/>
        <v>122.54503143479654</v>
      </c>
      <c r="J6" s="93">
        <f>H6-D6</f>
        <v>387983.52203000011</v>
      </c>
      <c r="K6" s="91">
        <f t="shared" ref="K6:K21" si="2">H6/F6*100</f>
        <v>14.30893335475521</v>
      </c>
      <c r="L6" s="91"/>
      <c r="M6" s="93"/>
    </row>
    <row r="7" spans="1:13" s="4" customFormat="1" ht="27" customHeight="1">
      <c r="A7" s="225" t="s">
        <v>2</v>
      </c>
      <c r="B7" s="226"/>
      <c r="C7" s="53">
        <v>10909305.25794</v>
      </c>
      <c r="D7" s="80">
        <v>1519875.70633</v>
      </c>
      <c r="E7" s="54">
        <f t="shared" si="0"/>
        <v>13.931920231343838</v>
      </c>
      <c r="F7" s="53">
        <v>12036455.823000006</v>
      </c>
      <c r="G7" s="53">
        <v>1736770.9407299997</v>
      </c>
      <c r="H7" s="80">
        <v>1936783.4598099999</v>
      </c>
      <c r="I7" s="55">
        <f t="shared" si="1"/>
        <v>127.43038471788559</v>
      </c>
      <c r="J7" s="83">
        <f t="shared" ref="J7:J30" si="3">H7-D7</f>
        <v>416907.75347999996</v>
      </c>
      <c r="K7" s="55">
        <f t="shared" si="2"/>
        <v>16.090978011227143</v>
      </c>
      <c r="L7" s="55">
        <f t="shared" ref="L7:L21" si="4">H7/G7*100</f>
        <v>111.51634417581462</v>
      </c>
      <c r="M7" s="83">
        <f t="shared" ref="M7:M21" si="5">H7-G7</f>
        <v>200012.51908000023</v>
      </c>
    </row>
    <row r="8" spans="1:13" s="4" customFormat="1" ht="24" customHeight="1">
      <c r="A8" s="87" t="s">
        <v>15</v>
      </c>
      <c r="B8" s="78" t="s">
        <v>18</v>
      </c>
      <c r="C8" s="50">
        <v>6642290.3919299999</v>
      </c>
      <c r="D8" s="81">
        <v>846979.37916000001</v>
      </c>
      <c r="E8" s="51">
        <f t="shared" si="0"/>
        <v>12.751315121498319</v>
      </c>
      <c r="F8" s="50">
        <v>7739098.4440000001</v>
      </c>
      <c r="G8" s="50">
        <v>1065525.6407300001</v>
      </c>
      <c r="H8" s="81">
        <v>1141167.87971</v>
      </c>
      <c r="I8" s="52">
        <f t="shared" si="1"/>
        <v>134.73384450537205</v>
      </c>
      <c r="J8" s="84">
        <f t="shared" si="3"/>
        <v>294188.50055</v>
      </c>
      <c r="K8" s="52">
        <f t="shared" si="2"/>
        <v>14.74548861172233</v>
      </c>
      <c r="L8" s="52">
        <f t="shared" si="4"/>
        <v>107.09905384615396</v>
      </c>
      <c r="M8" s="84">
        <f t="shared" si="5"/>
        <v>75642.238979999907</v>
      </c>
    </row>
    <row r="9" spans="1:13" s="4" customFormat="1" ht="24" customHeight="1">
      <c r="A9" s="79"/>
      <c r="B9" s="78" t="s">
        <v>19</v>
      </c>
      <c r="C9" s="50">
        <v>166354.10204999999</v>
      </c>
      <c r="D9" s="81">
        <v>29020.59691</v>
      </c>
      <c r="E9" s="51">
        <f t="shared" si="0"/>
        <v>17.445074424000357</v>
      </c>
      <c r="F9" s="50">
        <v>165105.864</v>
      </c>
      <c r="G9" s="50">
        <v>4984.9560000000001</v>
      </c>
      <c r="H9" s="81">
        <v>27793.529330000001</v>
      </c>
      <c r="I9" s="52">
        <f t="shared" si="1"/>
        <v>95.771735558005801</v>
      </c>
      <c r="J9" s="84">
        <f t="shared" si="3"/>
        <v>-1227.067579999999</v>
      </c>
      <c r="K9" s="52">
        <f t="shared" si="2"/>
        <v>16.833762688162306</v>
      </c>
      <c r="L9" s="52" t="s">
        <v>125</v>
      </c>
      <c r="M9" s="84">
        <f t="shared" si="5"/>
        <v>22808.573329999999</v>
      </c>
    </row>
    <row r="10" spans="1:13" s="4" customFormat="1" ht="27.6">
      <c r="A10" s="79"/>
      <c r="B10" s="78" t="s">
        <v>25</v>
      </c>
      <c r="C10" s="50">
        <v>94313.83395</v>
      </c>
      <c r="D10" s="81">
        <v>18985.970860000001</v>
      </c>
      <c r="E10" s="51">
        <f t="shared" si="0"/>
        <v>20.130632023787008</v>
      </c>
      <c r="F10" s="50">
        <v>148641.91699999999</v>
      </c>
      <c r="G10" s="50">
        <v>24221.179</v>
      </c>
      <c r="H10" s="81">
        <v>33004.045510000004</v>
      </c>
      <c r="I10" s="52">
        <f t="shared" si="1"/>
        <v>173.8338573959025</v>
      </c>
      <c r="J10" s="84">
        <f t="shared" si="3"/>
        <v>14018.074650000002</v>
      </c>
      <c r="K10" s="52">
        <f t="shared" si="2"/>
        <v>22.203727034817511</v>
      </c>
      <c r="L10" s="52">
        <f t="shared" si="4"/>
        <v>136.26110236004615</v>
      </c>
      <c r="M10" s="84">
        <f t="shared" si="5"/>
        <v>8782.8665100000035</v>
      </c>
    </row>
    <row r="11" spans="1:13" s="4" customFormat="1" ht="24" customHeight="1">
      <c r="A11" s="79"/>
      <c r="B11" s="78" t="s">
        <v>88</v>
      </c>
      <c r="C11" s="50">
        <v>957867.91434000002</v>
      </c>
      <c r="D11" s="81">
        <v>104573.30258</v>
      </c>
      <c r="E11" s="51">
        <f t="shared" si="0"/>
        <v>10.917298827370596</v>
      </c>
      <c r="F11" s="50">
        <v>890730.07200000004</v>
      </c>
      <c r="G11" s="50">
        <v>106258.666</v>
      </c>
      <c r="H11" s="81">
        <v>57248.994339999997</v>
      </c>
      <c r="I11" s="52">
        <f t="shared" si="1"/>
        <v>54.745324980248888</v>
      </c>
      <c r="J11" s="84">
        <f t="shared" si="3"/>
        <v>-47324.308240000006</v>
      </c>
      <c r="K11" s="52">
        <f t="shared" si="2"/>
        <v>6.4271990067042442</v>
      </c>
      <c r="L11" s="52">
        <f t="shared" si="4"/>
        <v>53.877012101770596</v>
      </c>
      <c r="M11" s="84">
        <f t="shared" si="5"/>
        <v>-49009.67166</v>
      </c>
    </row>
    <row r="12" spans="1:13" s="4" customFormat="1" ht="24" customHeight="1">
      <c r="A12" s="79"/>
      <c r="B12" s="78" t="s">
        <v>26</v>
      </c>
      <c r="C12" s="50">
        <v>168797.02559999999</v>
      </c>
      <c r="D12" s="81">
        <v>18104.318800000001</v>
      </c>
      <c r="E12" s="51">
        <f t="shared" si="0"/>
        <v>10.72549633836676</v>
      </c>
      <c r="F12" s="50">
        <v>179357.22399999999</v>
      </c>
      <c r="G12" s="50">
        <v>20377.987000000001</v>
      </c>
      <c r="H12" s="81">
        <v>42327.389060000001</v>
      </c>
      <c r="I12" s="52" t="s">
        <v>124</v>
      </c>
      <c r="J12" s="84">
        <f t="shared" si="3"/>
        <v>24223.07026</v>
      </c>
      <c r="K12" s="52">
        <f t="shared" si="2"/>
        <v>23.599489396646774</v>
      </c>
      <c r="L12" s="52" t="s">
        <v>126</v>
      </c>
      <c r="M12" s="84">
        <f t="shared" si="5"/>
        <v>21949.40206</v>
      </c>
    </row>
    <row r="13" spans="1:13" s="4" customFormat="1" ht="24" customHeight="1">
      <c r="A13" s="79"/>
      <c r="B13" s="78" t="s">
        <v>27</v>
      </c>
      <c r="C13" s="50">
        <v>970671.78125999996</v>
      </c>
      <c r="D13" s="81">
        <v>141067.01308</v>
      </c>
      <c r="E13" s="51">
        <f t="shared" si="0"/>
        <v>14.53292614491019</v>
      </c>
      <c r="F13" s="109">
        <v>989908.15099999995</v>
      </c>
      <c r="G13" s="50">
        <v>147034.95600000001</v>
      </c>
      <c r="H13" s="81">
        <v>153169.69695000001</v>
      </c>
      <c r="I13" s="52">
        <f t="shared" ref="I13:I30" si="6">H13/D13*100</f>
        <v>108.57938621209517</v>
      </c>
      <c r="J13" s="84">
        <f t="shared" si="3"/>
        <v>12102.683870000008</v>
      </c>
      <c r="K13" s="52">
        <f t="shared" si="2"/>
        <v>15.473122106861007</v>
      </c>
      <c r="L13" s="52">
        <f t="shared" si="4"/>
        <v>104.17230100711561</v>
      </c>
      <c r="M13" s="84">
        <f t="shared" si="5"/>
        <v>6134.7409500000067</v>
      </c>
    </row>
    <row r="14" spans="1:13" s="4" customFormat="1" ht="24" customHeight="1">
      <c r="A14" s="79"/>
      <c r="B14" s="78" t="s">
        <v>16</v>
      </c>
      <c r="C14" s="50">
        <v>1418774.79959</v>
      </c>
      <c r="D14" s="81">
        <v>304449.74148000003</v>
      </c>
      <c r="E14" s="51">
        <f t="shared" si="0"/>
        <v>21.458637520766541</v>
      </c>
      <c r="F14" s="50">
        <v>1481373.69</v>
      </c>
      <c r="G14" s="50">
        <v>305131.163</v>
      </c>
      <c r="H14" s="81">
        <v>398203.36125999998</v>
      </c>
      <c r="I14" s="52">
        <f t="shared" si="6"/>
        <v>130.79444880598095</v>
      </c>
      <c r="J14" s="84">
        <f t="shared" si="3"/>
        <v>93753.61977999995</v>
      </c>
      <c r="K14" s="52">
        <f t="shared" si="2"/>
        <v>26.880682703362986</v>
      </c>
      <c r="L14" s="52">
        <f t="shared" si="4"/>
        <v>130.50235752550782</v>
      </c>
      <c r="M14" s="84">
        <f t="shared" si="5"/>
        <v>93072.198259999976</v>
      </c>
    </row>
    <row r="15" spans="1:13" s="4" customFormat="1" ht="24" customHeight="1">
      <c r="A15" s="79"/>
      <c r="B15" s="78" t="s">
        <v>17</v>
      </c>
      <c r="C15" s="50">
        <v>209774.09526999999</v>
      </c>
      <c r="D15" s="81">
        <v>23764.794020000001</v>
      </c>
      <c r="E15" s="51">
        <f t="shared" si="0"/>
        <v>11.328755340077795</v>
      </c>
      <c r="F15" s="50">
        <v>210902.36900000001</v>
      </c>
      <c r="G15" s="50">
        <v>26425.503000000001</v>
      </c>
      <c r="H15" s="81">
        <v>43995.614880000001</v>
      </c>
      <c r="I15" s="52">
        <f t="shared" si="6"/>
        <v>185.12937601299689</v>
      </c>
      <c r="J15" s="84">
        <f t="shared" si="3"/>
        <v>20230.82086</v>
      </c>
      <c r="K15" s="52">
        <f t="shared" si="2"/>
        <v>20.860654666235636</v>
      </c>
      <c r="L15" s="52">
        <f t="shared" si="4"/>
        <v>166.48922398941659</v>
      </c>
      <c r="M15" s="84">
        <f t="shared" si="5"/>
        <v>17570.11188</v>
      </c>
    </row>
    <row r="16" spans="1:13" s="4" customFormat="1" ht="27" customHeight="1">
      <c r="A16" s="225" t="s">
        <v>53</v>
      </c>
      <c r="B16" s="226"/>
      <c r="C16" s="53">
        <v>2400653.568070001</v>
      </c>
      <c r="D16" s="80">
        <v>201051.24447999999</v>
      </c>
      <c r="E16" s="54">
        <f t="shared" si="0"/>
        <v>8.3748545460324202</v>
      </c>
      <c r="F16" s="104">
        <v>2701962.622</v>
      </c>
      <c r="G16" s="103"/>
      <c r="H16" s="80">
        <v>172127.01303</v>
      </c>
      <c r="I16" s="55">
        <f t="shared" si="6"/>
        <v>85.613502903297217</v>
      </c>
      <c r="J16" s="83">
        <f t="shared" si="3"/>
        <v>-28924.231449999992</v>
      </c>
      <c r="K16" s="55">
        <f t="shared" si="2"/>
        <v>6.3704438998712396</v>
      </c>
      <c r="L16" s="55"/>
      <c r="M16" s="83"/>
    </row>
    <row r="17" spans="1:13" s="4" customFormat="1" ht="24" customHeight="1">
      <c r="A17" s="87" t="s">
        <v>15</v>
      </c>
      <c r="B17" s="77" t="s">
        <v>56</v>
      </c>
      <c r="C17" s="50">
        <v>101459.52643</v>
      </c>
      <c r="D17" s="81">
        <v>21677.249810000001</v>
      </c>
      <c r="E17" s="51">
        <f t="shared" si="0"/>
        <v>21.365415917800277</v>
      </c>
      <c r="F17" s="50">
        <v>84089.634000000005</v>
      </c>
      <c r="G17" s="50">
        <v>19898.899000000001</v>
      </c>
      <c r="H17" s="81">
        <v>20014.018820000001</v>
      </c>
      <c r="I17" s="52">
        <f t="shared" si="6"/>
        <v>92.32729702993629</v>
      </c>
      <c r="J17" s="84">
        <f>H17-D17</f>
        <v>-1663.23099</v>
      </c>
      <c r="K17" s="52">
        <f t="shared" si="2"/>
        <v>23.80081571053098</v>
      </c>
      <c r="L17" s="52">
        <f t="shared" si="4"/>
        <v>100.57852356555004</v>
      </c>
      <c r="M17" s="84">
        <f t="shared" si="5"/>
        <v>115.11981999999989</v>
      </c>
    </row>
    <row r="18" spans="1:13" s="4" customFormat="1" ht="33" customHeight="1">
      <c r="A18" s="87"/>
      <c r="B18" s="77" t="s">
        <v>29</v>
      </c>
      <c r="C18" s="50">
        <v>182163.85341000001</v>
      </c>
      <c r="D18" s="81">
        <v>22045.476589999998</v>
      </c>
      <c r="E18" s="51">
        <f t="shared" si="0"/>
        <v>12.102003870318763</v>
      </c>
      <c r="F18" s="50">
        <v>165736.65</v>
      </c>
      <c r="G18" s="50">
        <v>20532.334999999999</v>
      </c>
      <c r="H18" s="81">
        <v>27877.934130000001</v>
      </c>
      <c r="I18" s="52">
        <f t="shared" si="6"/>
        <v>126.45648197347501</v>
      </c>
      <c r="J18" s="84">
        <f t="shared" si="3"/>
        <v>5832.4575400000031</v>
      </c>
      <c r="K18" s="52">
        <f t="shared" si="2"/>
        <v>16.820621226506027</v>
      </c>
      <c r="L18" s="52">
        <f t="shared" si="4"/>
        <v>135.77576115916676</v>
      </c>
      <c r="M18" s="84">
        <f t="shared" si="5"/>
        <v>7345.5991300000023</v>
      </c>
    </row>
    <row r="19" spans="1:13" s="4" customFormat="1" ht="24" customHeight="1">
      <c r="A19" s="87"/>
      <c r="B19" s="77" t="s">
        <v>87</v>
      </c>
      <c r="C19" s="50">
        <v>644188.83955000003</v>
      </c>
      <c r="D19" s="81">
        <v>72089.561449999994</v>
      </c>
      <c r="E19" s="51">
        <f t="shared" si="0"/>
        <v>11.190749827388871</v>
      </c>
      <c r="F19" s="105">
        <v>506293.89500000002</v>
      </c>
      <c r="G19" s="50"/>
      <c r="H19" s="81">
        <v>73102.970319999993</v>
      </c>
      <c r="I19" s="52">
        <f t="shared" si="6"/>
        <v>101.40576367731531</v>
      </c>
      <c r="J19" s="84">
        <f t="shared" si="3"/>
        <v>1013.4088699999993</v>
      </c>
      <c r="K19" s="52">
        <f t="shared" si="2"/>
        <v>14.438840966075642</v>
      </c>
      <c r="L19" s="52"/>
      <c r="M19" s="84"/>
    </row>
    <row r="20" spans="1:13" s="4" customFormat="1" ht="24" customHeight="1">
      <c r="A20" s="87"/>
      <c r="B20" s="77" t="s">
        <v>113</v>
      </c>
      <c r="C20" s="50">
        <v>168710.82273000001</v>
      </c>
      <c r="D20" s="81">
        <v>37712.71125</v>
      </c>
      <c r="E20" s="51">
        <f t="shared" si="0"/>
        <v>22.353462949057125</v>
      </c>
      <c r="F20" s="50">
        <v>282401.25</v>
      </c>
      <c r="G20" s="50">
        <v>46826.2</v>
      </c>
      <c r="H20" s="81">
        <v>23554.217499999999</v>
      </c>
      <c r="I20" s="52">
        <f t="shared" si="6"/>
        <v>62.456971984479104</v>
      </c>
      <c r="J20" s="84">
        <f>H20-D20</f>
        <v>-14158.493750000001</v>
      </c>
      <c r="K20" s="52">
        <f>H20/F20*100</f>
        <v>8.3406916577033563</v>
      </c>
      <c r="L20" s="52">
        <f>H20/G20*100</f>
        <v>50.301364407105417</v>
      </c>
      <c r="M20" s="84">
        <f>H20-G20</f>
        <v>-23271.982499999998</v>
      </c>
    </row>
    <row r="21" spans="1:13" s="4" customFormat="1" ht="24" customHeight="1">
      <c r="A21" s="87"/>
      <c r="B21" s="78" t="s">
        <v>20</v>
      </c>
      <c r="C21" s="50">
        <v>170159.98412000001</v>
      </c>
      <c r="D21" s="81">
        <v>46428.099390000003</v>
      </c>
      <c r="E21" s="51">
        <f t="shared" si="0"/>
        <v>27.284969277652284</v>
      </c>
      <c r="F21" s="50">
        <v>157840.39300000001</v>
      </c>
      <c r="G21" s="50">
        <v>26426.974999999999</v>
      </c>
      <c r="H21" s="81">
        <v>24181.836370000001</v>
      </c>
      <c r="I21" s="52">
        <f t="shared" si="6"/>
        <v>52.084484800617204</v>
      </c>
      <c r="J21" s="84">
        <f t="shared" si="3"/>
        <v>-22246.263020000002</v>
      </c>
      <c r="K21" s="52">
        <f t="shared" si="2"/>
        <v>15.320435986243394</v>
      </c>
      <c r="L21" s="52">
        <f t="shared" si="4"/>
        <v>91.504367677344845</v>
      </c>
      <c r="M21" s="84">
        <f t="shared" si="5"/>
        <v>-2245.1386299999976</v>
      </c>
    </row>
    <row r="22" spans="1:13" s="4" customFormat="1" ht="30" customHeight="1">
      <c r="A22" s="221" t="s">
        <v>24</v>
      </c>
      <c r="B22" s="222"/>
      <c r="C22" s="92">
        <v>24410867.228920002</v>
      </c>
      <c r="D22" s="90">
        <v>3684518.3394200001</v>
      </c>
      <c r="E22" s="94">
        <f t="shared" si="0"/>
        <v>15.093762564301214</v>
      </c>
      <c r="F22" s="92"/>
      <c r="G22" s="92"/>
      <c r="H22" s="90">
        <v>4091203.7560399999</v>
      </c>
      <c r="I22" s="91">
        <f t="shared" si="6"/>
        <v>111.03768197511587</v>
      </c>
      <c r="J22" s="93">
        <f>H22-D22</f>
        <v>406685.4166199998</v>
      </c>
      <c r="K22" s="91"/>
      <c r="L22" s="91"/>
      <c r="M22" s="93"/>
    </row>
    <row r="23" spans="1:13" s="4" customFormat="1" ht="24" customHeight="1">
      <c r="A23" s="87" t="s">
        <v>15</v>
      </c>
      <c r="B23" s="77" t="s">
        <v>28</v>
      </c>
      <c r="C23" s="50">
        <v>3221031.9296599999</v>
      </c>
      <c r="D23" s="81">
        <v>419593.45301</v>
      </c>
      <c r="E23" s="51">
        <f t="shared" si="0"/>
        <v>13.026677852718171</v>
      </c>
      <c r="F23" s="50"/>
      <c r="G23" s="50"/>
      <c r="H23" s="81">
        <v>556346.86708</v>
      </c>
      <c r="I23" s="52">
        <f t="shared" si="6"/>
        <v>132.59188461807122</v>
      </c>
      <c r="J23" s="84">
        <f t="shared" si="3"/>
        <v>136753.41407</v>
      </c>
      <c r="K23" s="52"/>
      <c r="L23" s="52"/>
      <c r="M23" s="84"/>
    </row>
    <row r="24" spans="1:13" s="4" customFormat="1" ht="24" customHeight="1">
      <c r="A24" s="87"/>
      <c r="B24" s="88" t="s">
        <v>19</v>
      </c>
      <c r="C24" s="50">
        <v>1563696.46481</v>
      </c>
      <c r="D24" s="81">
        <v>241423.13956000001</v>
      </c>
      <c r="E24" s="51">
        <f t="shared" si="0"/>
        <v>15.439258512957924</v>
      </c>
      <c r="F24" s="50"/>
      <c r="G24" s="50"/>
      <c r="H24" s="81">
        <v>235532.77183000001</v>
      </c>
      <c r="I24" s="52">
        <f t="shared" si="6"/>
        <v>97.560147821482502</v>
      </c>
      <c r="J24" s="84">
        <f t="shared" si="3"/>
        <v>-5890.3677299999981</v>
      </c>
      <c r="K24" s="52"/>
      <c r="L24" s="52"/>
      <c r="M24" s="84"/>
    </row>
    <row r="25" spans="1:13" s="4" customFormat="1" ht="33" customHeight="1">
      <c r="A25" s="87"/>
      <c r="B25" s="88" t="s">
        <v>25</v>
      </c>
      <c r="C25" s="50">
        <v>1733004.43854</v>
      </c>
      <c r="D25" s="81">
        <v>476777.69289000001</v>
      </c>
      <c r="E25" s="51">
        <f t="shared" si="0"/>
        <v>27.511625607356766</v>
      </c>
      <c r="F25" s="50"/>
      <c r="G25" s="50"/>
      <c r="H25" s="81">
        <v>174362.14794</v>
      </c>
      <c r="I25" s="52">
        <f t="shared" si="6"/>
        <v>36.570953410823279</v>
      </c>
      <c r="J25" s="84">
        <f t="shared" si="3"/>
        <v>-302415.54495000001</v>
      </c>
      <c r="K25" s="52"/>
      <c r="L25" s="52"/>
      <c r="M25" s="84"/>
    </row>
    <row r="26" spans="1:13" s="4" customFormat="1" ht="24" customHeight="1">
      <c r="A26" s="87"/>
      <c r="B26" s="88" t="s">
        <v>32</v>
      </c>
      <c r="C26" s="50">
        <v>2704325.8488700003</v>
      </c>
      <c r="D26" s="81">
        <v>364730.54980000004</v>
      </c>
      <c r="E26" s="51">
        <f t="shared" si="0"/>
        <v>13.486930576520662</v>
      </c>
      <c r="F26" s="50"/>
      <c r="G26" s="50"/>
      <c r="H26" s="81">
        <v>389938.29751999996</v>
      </c>
      <c r="I26" s="52">
        <f t="shared" si="6"/>
        <v>106.91133433539433</v>
      </c>
      <c r="J26" s="84">
        <f>H26-D26</f>
        <v>25207.747719999927</v>
      </c>
      <c r="K26" s="52"/>
      <c r="L26" s="52"/>
      <c r="M26" s="84"/>
    </row>
    <row r="27" spans="1:13" s="4" customFormat="1" ht="24" customHeight="1">
      <c r="A27" s="87"/>
      <c r="B27" s="88" t="s">
        <v>30</v>
      </c>
      <c r="C27" s="50">
        <v>6809553.4558199998</v>
      </c>
      <c r="D27" s="81">
        <v>989973.46810000006</v>
      </c>
      <c r="E27" s="51">
        <f t="shared" si="0"/>
        <v>14.538008615732181</v>
      </c>
      <c r="F27" s="50"/>
      <c r="G27" s="50"/>
      <c r="H27" s="81">
        <v>1128293.6197599999</v>
      </c>
      <c r="I27" s="52">
        <f t="shared" si="6"/>
        <v>113.9721069419638</v>
      </c>
      <c r="J27" s="84">
        <f t="shared" si="3"/>
        <v>138320.15165999986</v>
      </c>
      <c r="K27" s="52"/>
      <c r="L27" s="52"/>
      <c r="M27" s="84"/>
    </row>
    <row r="28" spans="1:13" s="4" customFormat="1" ht="24" customHeight="1">
      <c r="A28" s="87"/>
      <c r="B28" s="88" t="s">
        <v>31</v>
      </c>
      <c r="C28" s="50">
        <v>-5472009.2067900002</v>
      </c>
      <c r="D28" s="81">
        <v>-643544.73907000001</v>
      </c>
      <c r="E28" s="51">
        <f t="shared" si="0"/>
        <v>11.760666233372758</v>
      </c>
      <c r="F28" s="50"/>
      <c r="G28" s="50"/>
      <c r="H28" s="81">
        <v>-883479.23901000002</v>
      </c>
      <c r="I28" s="52">
        <f t="shared" si="6"/>
        <v>137.28326647293153</v>
      </c>
      <c r="J28" s="84">
        <f t="shared" si="3"/>
        <v>-239934.49994000001</v>
      </c>
      <c r="K28" s="52"/>
      <c r="L28" s="52"/>
      <c r="M28" s="84"/>
    </row>
    <row r="29" spans="1:13" s="4" customFormat="1" ht="24" customHeight="1">
      <c r="A29" s="87"/>
      <c r="B29" s="88" t="s">
        <v>33</v>
      </c>
      <c r="C29" s="50">
        <v>12201882.683390001</v>
      </c>
      <c r="D29" s="81">
        <v>1509111.3643499999</v>
      </c>
      <c r="E29" s="51">
        <f t="shared" si="0"/>
        <v>12.367856694805802</v>
      </c>
      <c r="F29" s="50"/>
      <c r="G29" s="50"/>
      <c r="H29" s="81">
        <v>1990168.2629499999</v>
      </c>
      <c r="I29" s="52">
        <f t="shared" si="6"/>
        <v>131.87683228448813</v>
      </c>
      <c r="J29" s="84">
        <f t="shared" si="3"/>
        <v>481056.89859999996</v>
      </c>
      <c r="K29" s="52"/>
      <c r="L29" s="52"/>
      <c r="M29" s="84"/>
    </row>
    <row r="30" spans="1:13" s="4" customFormat="1" ht="24" customHeight="1">
      <c r="A30" s="87"/>
      <c r="B30" s="88" t="s">
        <v>34</v>
      </c>
      <c r="C30" s="50">
        <v>1485575.0022700001</v>
      </c>
      <c r="D30" s="81">
        <v>169855.89562</v>
      </c>
      <c r="E30" s="51">
        <f t="shared" si="0"/>
        <v>11.433680249092468</v>
      </c>
      <c r="F30" s="50"/>
      <c r="G30" s="50"/>
      <c r="H30" s="81">
        <v>244940.51863000001</v>
      </c>
      <c r="I30" s="52">
        <f t="shared" si="6"/>
        <v>144.20489658950586</v>
      </c>
      <c r="J30" s="84">
        <f t="shared" si="3"/>
        <v>75084.62301000001</v>
      </c>
      <c r="K30" s="52"/>
      <c r="L30" s="52"/>
      <c r="M30" s="84"/>
    </row>
    <row r="31" spans="1:13" ht="15" customHeight="1">
      <c r="A31" s="56"/>
      <c r="B31" s="56"/>
      <c r="C31" s="66"/>
      <c r="D31" s="57"/>
      <c r="E31" s="58"/>
      <c r="F31" s="66"/>
      <c r="G31" s="67"/>
      <c r="H31" s="68"/>
      <c r="I31" s="69"/>
      <c r="J31" s="85"/>
      <c r="K31" s="69"/>
      <c r="L31" s="69"/>
      <c r="M31" s="85"/>
    </row>
    <row r="32" spans="1:13" ht="27" customHeight="1">
      <c r="A32" s="220" t="s">
        <v>36</v>
      </c>
      <c r="B32" s="220"/>
      <c r="C32" s="50">
        <v>442093.1</v>
      </c>
      <c r="D32" s="81">
        <v>73684.100000000006</v>
      </c>
      <c r="E32" s="51">
        <f>D32/C32*100</f>
        <v>16.667100210340312</v>
      </c>
      <c r="F32" s="50">
        <v>559873.4</v>
      </c>
      <c r="G32" s="59">
        <f>'дотац по АТО'!D71</f>
        <v>93310.8</v>
      </c>
      <c r="H32" s="82">
        <f>'дотац по АТО'!E71</f>
        <v>91281.8</v>
      </c>
      <c r="I32" s="52">
        <f>H32/D32*100</f>
        <v>123.88262868108588</v>
      </c>
      <c r="J32" s="84">
        <f>H32-D32</f>
        <v>17597.699999999997</v>
      </c>
      <c r="K32" s="52">
        <f>H32/F32*100</f>
        <v>16.304007298792904</v>
      </c>
      <c r="L32" s="52">
        <f>H32/G32*100</f>
        <v>97.825546453358029</v>
      </c>
      <c r="M32" s="86">
        <f>H32-G32</f>
        <v>-2029</v>
      </c>
    </row>
    <row r="33" spans="1:13" ht="27" customHeight="1">
      <c r="A33" s="218" t="s">
        <v>35</v>
      </c>
      <c r="B33" s="219"/>
      <c r="C33" s="50">
        <v>233742.7</v>
      </c>
      <c r="D33" s="81">
        <v>38956.699999999997</v>
      </c>
      <c r="E33" s="51">
        <f>D33/C33*100</f>
        <v>16.666488407980225</v>
      </c>
      <c r="F33" s="50">
        <v>365119</v>
      </c>
      <c r="G33" s="59">
        <f>'дотац по АТО'!J71</f>
        <v>60853</v>
      </c>
      <c r="H33" s="82">
        <f>'дотац по АТО'!K71</f>
        <v>60853</v>
      </c>
      <c r="I33" s="52">
        <f>H33/D33*100</f>
        <v>156.20676289316089</v>
      </c>
      <c r="J33" s="84">
        <f>H33-D33</f>
        <v>21896.300000000003</v>
      </c>
      <c r="K33" s="52">
        <f>H33/F33*100</f>
        <v>16.666621019448456</v>
      </c>
      <c r="L33" s="52">
        <f>H33/G33*100</f>
        <v>100</v>
      </c>
      <c r="M33" s="86">
        <f>H33-G33</f>
        <v>0</v>
      </c>
    </row>
    <row r="34" spans="1:13" ht="15" customHeight="1">
      <c r="A34" s="70"/>
      <c r="B34" s="70"/>
      <c r="C34" s="71"/>
      <c r="D34" s="71"/>
      <c r="E34" s="71"/>
      <c r="F34" s="71"/>
      <c r="G34" s="66"/>
      <c r="H34" s="66"/>
      <c r="I34" s="69"/>
      <c r="J34" s="69"/>
      <c r="K34" s="69"/>
      <c r="L34" s="69"/>
      <c r="M34" s="72"/>
    </row>
    <row r="35" spans="1:13" ht="13.8">
      <c r="A35" s="56"/>
      <c r="B35" s="56"/>
      <c r="C35" s="60"/>
      <c r="D35" s="60"/>
      <c r="E35" s="60"/>
      <c r="F35" s="60"/>
      <c r="G35" s="66"/>
      <c r="H35" s="66"/>
      <c r="I35" s="69"/>
      <c r="J35" s="69"/>
      <c r="K35" s="69"/>
      <c r="L35" s="69"/>
      <c r="M35" s="69"/>
    </row>
    <row r="36" spans="1:13" ht="12.75" customHeight="1">
      <c r="C36" s="46"/>
      <c r="I36" s="1"/>
    </row>
    <row r="37" spans="1:13">
      <c r="C37" s="100"/>
      <c r="D37" s="101"/>
    </row>
  </sheetData>
  <mergeCells count="18">
    <mergeCell ref="E3:E4"/>
    <mergeCell ref="A1:M1"/>
    <mergeCell ref="F3:F4"/>
    <mergeCell ref="G3:G4"/>
    <mergeCell ref="H3:H4"/>
    <mergeCell ref="I3:J3"/>
    <mergeCell ref="K3:K4"/>
    <mergeCell ref="L3:M3"/>
    <mergeCell ref="D3:D4"/>
    <mergeCell ref="A33:B33"/>
    <mergeCell ref="A32:B32"/>
    <mergeCell ref="A22:B22"/>
    <mergeCell ref="C3:C4"/>
    <mergeCell ref="A7:B7"/>
    <mergeCell ref="A16:B16"/>
    <mergeCell ref="A5:B5"/>
    <mergeCell ref="A3:B4"/>
    <mergeCell ref="A6:B6"/>
  </mergeCells>
  <phoneticPr fontId="1" type="noConversion"/>
  <printOptions horizontalCentered="1"/>
  <pageMargins left="0.39370078740157483" right="0.19685039370078741" top="0.4" bottom="0.43307086614173229" header="0.42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5"/>
  <dimension ref="A1:M113"/>
  <sheetViews>
    <sheetView tabSelected="1" view="pageBreakPreview" zoomScale="75" zoomScaleSheetLayoutView="100" workbookViewId="0">
      <pane ySplit="4" topLeftCell="A5" activePane="bottomLeft" state="frozen"/>
      <selection pane="bottomLeft" activeCell="D70" sqref="D70"/>
    </sheetView>
  </sheetViews>
  <sheetFormatPr defaultColWidth="9.109375" defaultRowHeight="13.2"/>
  <cols>
    <col min="1" max="1" width="5.6640625" style="43" customWidth="1"/>
    <col min="2" max="2" width="32.44140625" style="43" customWidth="1"/>
    <col min="3" max="3" width="22.44140625" style="43" customWidth="1"/>
    <col min="4" max="4" width="21.5546875" style="43" customWidth="1"/>
    <col min="5" max="5" width="29" style="44" customWidth="1"/>
    <col min="6" max="6" width="17" style="44" customWidth="1"/>
    <col min="7" max="7" width="10.88671875" style="44" customWidth="1"/>
    <col min="8" max="8" width="22.6640625" style="44" customWidth="1"/>
    <col min="9" max="9" width="12.5546875" style="43" customWidth="1"/>
    <col min="10" max="10" width="20.88671875" style="43" customWidth="1"/>
    <col min="11" max="11" width="12.33203125" style="45" customWidth="1"/>
    <col min="12" max="12" width="15.33203125" style="43" customWidth="1"/>
    <col min="13" max="14" width="12.33203125" style="43" customWidth="1"/>
    <col min="15" max="16384" width="9.109375" style="43"/>
  </cols>
  <sheetData>
    <row r="1" spans="1:13" s="8" customFormat="1" ht="39" customHeight="1">
      <c r="A1" s="240" t="s">
        <v>122</v>
      </c>
      <c r="B1" s="240"/>
      <c r="C1" s="240"/>
      <c r="D1" s="240"/>
      <c r="E1" s="240"/>
      <c r="F1" s="240"/>
      <c r="G1" s="240"/>
      <c r="H1" s="240"/>
      <c r="K1" s="9"/>
    </row>
    <row r="2" spans="1:13" s="11" customFormat="1" ht="22.5" customHeight="1" thickBot="1">
      <c r="A2" s="74"/>
      <c r="B2" s="74"/>
      <c r="C2" s="74"/>
      <c r="D2" s="74"/>
      <c r="E2" s="75"/>
      <c r="F2" s="73"/>
      <c r="G2" s="75"/>
      <c r="H2" s="73" t="s">
        <v>57</v>
      </c>
      <c r="K2" s="10"/>
    </row>
    <row r="3" spans="1:13" s="12" customFormat="1" ht="31.5" customHeight="1">
      <c r="A3" s="243" t="s">
        <v>3</v>
      </c>
      <c r="B3" s="243" t="s">
        <v>66</v>
      </c>
      <c r="C3" s="241" t="s">
        <v>114</v>
      </c>
      <c r="D3" s="241" t="s">
        <v>118</v>
      </c>
      <c r="E3" s="241" t="s">
        <v>108</v>
      </c>
      <c r="F3" s="241" t="s">
        <v>109</v>
      </c>
      <c r="G3" s="245" t="s">
        <v>119</v>
      </c>
      <c r="H3" s="246"/>
      <c r="I3" s="102"/>
      <c r="K3" s="15"/>
    </row>
    <row r="4" spans="1:13" s="12" customFormat="1" ht="32.25" customHeight="1" thickBot="1">
      <c r="A4" s="244"/>
      <c r="B4" s="244"/>
      <c r="C4" s="247"/>
      <c r="D4" s="242"/>
      <c r="E4" s="242"/>
      <c r="F4" s="242"/>
      <c r="G4" s="110" t="s">
        <v>55</v>
      </c>
      <c r="H4" s="111" t="s">
        <v>1</v>
      </c>
      <c r="I4" s="102"/>
      <c r="J4" s="16"/>
      <c r="K4" s="16"/>
      <c r="L4" s="17"/>
      <c r="M4" s="17"/>
    </row>
    <row r="5" spans="1:13" s="22" customFormat="1" ht="25.2" customHeight="1" thickBot="1">
      <c r="A5" s="121">
        <v>1</v>
      </c>
      <c r="B5" s="122" t="s">
        <v>4</v>
      </c>
      <c r="C5" s="175">
        <v>1994000.6440000001</v>
      </c>
      <c r="D5" s="175">
        <v>235445</v>
      </c>
      <c r="E5" s="175">
        <v>286168.92533</v>
      </c>
      <c r="F5" s="176">
        <f>E5/C5*100</f>
        <v>14.351496133719403</v>
      </c>
      <c r="G5" s="176">
        <f>E5/D5*100</f>
        <v>121.54385326934103</v>
      </c>
      <c r="H5" s="177">
        <f>E5-D5</f>
        <v>50723.925329999998</v>
      </c>
      <c r="I5" s="18"/>
      <c r="J5" s="19"/>
      <c r="K5" s="20"/>
      <c r="L5" s="21"/>
      <c r="M5" s="21"/>
    </row>
    <row r="6" spans="1:13" s="22" customFormat="1" ht="24.9" customHeight="1">
      <c r="A6" s="130">
        <v>2</v>
      </c>
      <c r="B6" s="131" t="s">
        <v>5</v>
      </c>
      <c r="C6" s="178">
        <v>5127823.3</v>
      </c>
      <c r="D6" s="178">
        <v>754765.25</v>
      </c>
      <c r="E6" s="178">
        <v>864070.29787999997</v>
      </c>
      <c r="F6" s="179">
        <f t="shared" ref="F6:F70" si="0">E6/C6*100</f>
        <v>16.850625447253613</v>
      </c>
      <c r="G6" s="179">
        <f t="shared" ref="G6:G70" si="1">E6/D6*100</f>
        <v>114.48199263015883</v>
      </c>
      <c r="H6" s="180">
        <f t="shared" ref="H6:H70" si="2">E6-D6</f>
        <v>109305.04787999997</v>
      </c>
      <c r="I6" s="207"/>
      <c r="J6" s="206"/>
      <c r="K6" s="20"/>
      <c r="L6" s="21"/>
      <c r="M6" s="21"/>
    </row>
    <row r="7" spans="1:13" s="27" customFormat="1" ht="24.9" customHeight="1">
      <c r="A7" s="137">
        <v>3</v>
      </c>
      <c r="B7" s="138" t="s">
        <v>6</v>
      </c>
      <c r="C7" s="181">
        <v>130506.75199999999</v>
      </c>
      <c r="D7" s="181">
        <v>18421.338</v>
      </c>
      <c r="E7" s="182">
        <v>20152.834269999999</v>
      </c>
      <c r="F7" s="183">
        <f t="shared" si="0"/>
        <v>15.441985921157549</v>
      </c>
      <c r="G7" s="183">
        <f t="shared" si="1"/>
        <v>109.39940556978</v>
      </c>
      <c r="H7" s="184">
        <f t="shared" si="2"/>
        <v>1731.4962699999996</v>
      </c>
      <c r="I7" s="23"/>
      <c r="J7" s="24"/>
      <c r="K7" s="25"/>
      <c r="L7" s="26"/>
      <c r="M7" s="26"/>
    </row>
    <row r="8" spans="1:13" s="22" customFormat="1" ht="24.9" customHeight="1">
      <c r="A8" s="137">
        <v>4</v>
      </c>
      <c r="B8" s="138" t="s">
        <v>7</v>
      </c>
      <c r="C8" s="181">
        <v>267723</v>
      </c>
      <c r="D8" s="181">
        <v>41324.699999999997</v>
      </c>
      <c r="E8" s="182">
        <v>42772.918579999998</v>
      </c>
      <c r="F8" s="183">
        <f t="shared" si="0"/>
        <v>15.976557329777419</v>
      </c>
      <c r="G8" s="183">
        <f t="shared" si="1"/>
        <v>103.50448661454288</v>
      </c>
      <c r="H8" s="184">
        <f t="shared" si="2"/>
        <v>1448.2185800000007</v>
      </c>
      <c r="I8" s="18"/>
      <c r="J8" s="19"/>
      <c r="K8" s="20"/>
      <c r="L8" s="21"/>
      <c r="M8" s="21"/>
    </row>
    <row r="9" spans="1:13" s="22" customFormat="1" ht="24.9" customHeight="1">
      <c r="A9" s="137">
        <v>5</v>
      </c>
      <c r="B9" s="185" t="s">
        <v>8</v>
      </c>
      <c r="C9" s="182">
        <v>50477.044000000002</v>
      </c>
      <c r="D9" s="182">
        <v>8519.4770000000008</v>
      </c>
      <c r="E9" s="182">
        <v>8831.7808800000003</v>
      </c>
      <c r="F9" s="183">
        <f t="shared" si="0"/>
        <v>17.496628526821024</v>
      </c>
      <c r="G9" s="183">
        <f t="shared" si="1"/>
        <v>103.66576352046022</v>
      </c>
      <c r="H9" s="184">
        <f t="shared" si="2"/>
        <v>312.30387999999948</v>
      </c>
      <c r="I9" s="18"/>
      <c r="J9" s="19"/>
      <c r="K9" s="20"/>
      <c r="L9" s="21"/>
      <c r="M9" s="21"/>
    </row>
    <row r="10" spans="1:13" s="22" customFormat="1" ht="24.9" customHeight="1">
      <c r="A10" s="137">
        <v>6</v>
      </c>
      <c r="B10" s="146" t="s">
        <v>9</v>
      </c>
      <c r="C10" s="182">
        <v>57148.7</v>
      </c>
      <c r="D10" s="182">
        <v>8939.5499999999993</v>
      </c>
      <c r="E10" s="182">
        <v>10299.2557</v>
      </c>
      <c r="F10" s="183">
        <f t="shared" si="0"/>
        <v>18.021854740352801</v>
      </c>
      <c r="G10" s="183">
        <f t="shared" si="1"/>
        <v>115.21000162200559</v>
      </c>
      <c r="H10" s="184">
        <f t="shared" si="2"/>
        <v>1359.7057000000004</v>
      </c>
      <c r="I10" s="18"/>
      <c r="J10" s="19"/>
      <c r="K10" s="20"/>
      <c r="L10" s="21"/>
      <c r="M10" s="21"/>
    </row>
    <row r="11" spans="1:13" s="22" customFormat="1" ht="24.9" customHeight="1">
      <c r="A11" s="137">
        <v>7</v>
      </c>
      <c r="B11" s="208" t="s">
        <v>10</v>
      </c>
      <c r="C11" s="181">
        <v>130000</v>
      </c>
      <c r="D11" s="181">
        <v>18561.275000000001</v>
      </c>
      <c r="E11" s="182">
        <v>18519.48775</v>
      </c>
      <c r="F11" s="183">
        <f t="shared" si="0"/>
        <v>14.245759807692307</v>
      </c>
      <c r="G11" s="209">
        <f t="shared" si="1"/>
        <v>99.774868644530073</v>
      </c>
      <c r="H11" s="184">
        <f t="shared" si="2"/>
        <v>-41.787250000001222</v>
      </c>
      <c r="I11" s="18"/>
      <c r="J11" s="19"/>
      <c r="K11" s="20"/>
      <c r="L11" s="21"/>
      <c r="M11" s="21"/>
    </row>
    <row r="12" spans="1:13" s="22" customFormat="1" ht="24.9" customHeight="1">
      <c r="A12" s="137">
        <v>8</v>
      </c>
      <c r="B12" s="138" t="s">
        <v>11</v>
      </c>
      <c r="C12" s="181">
        <v>266250</v>
      </c>
      <c r="D12" s="181">
        <v>38338.699999999997</v>
      </c>
      <c r="E12" s="182">
        <v>40654.17411</v>
      </c>
      <c r="F12" s="183">
        <f t="shared" si="0"/>
        <v>15.269173374647888</v>
      </c>
      <c r="G12" s="183">
        <f t="shared" si="1"/>
        <v>106.03952171043881</v>
      </c>
      <c r="H12" s="184">
        <f t="shared" si="2"/>
        <v>2315.4741100000028</v>
      </c>
      <c r="I12" s="18"/>
      <c r="J12" s="19"/>
      <c r="K12" s="20"/>
      <c r="L12" s="21"/>
      <c r="M12" s="21"/>
    </row>
    <row r="13" spans="1:13" s="22" customFormat="1" ht="24.9" customHeight="1">
      <c r="A13" s="137">
        <v>9</v>
      </c>
      <c r="B13" s="146" t="s">
        <v>12</v>
      </c>
      <c r="C13" s="182">
        <v>151065.70000000001</v>
      </c>
      <c r="D13" s="182">
        <v>22572</v>
      </c>
      <c r="E13" s="182">
        <v>26090.607769999999</v>
      </c>
      <c r="F13" s="183">
        <f t="shared" si="0"/>
        <v>17.271033576781491</v>
      </c>
      <c r="G13" s="183">
        <f t="shared" si="1"/>
        <v>115.5883739588871</v>
      </c>
      <c r="H13" s="184">
        <f t="shared" si="2"/>
        <v>3518.6077699999987</v>
      </c>
      <c r="I13" s="18"/>
      <c r="J13" s="19"/>
      <c r="K13" s="20"/>
      <c r="L13" s="21"/>
      <c r="M13" s="21"/>
    </row>
    <row r="14" spans="1:13" s="22" customFormat="1" ht="24.9" customHeight="1" thickBot="1">
      <c r="A14" s="147">
        <v>10</v>
      </c>
      <c r="B14" s="148" t="s">
        <v>13</v>
      </c>
      <c r="C14" s="186">
        <v>214184.3</v>
      </c>
      <c r="D14" s="186">
        <v>39109</v>
      </c>
      <c r="E14" s="186">
        <v>40582.932789999999</v>
      </c>
      <c r="F14" s="187">
        <f t="shared" si="0"/>
        <v>18.947669268942683</v>
      </c>
      <c r="G14" s="187">
        <f t="shared" si="1"/>
        <v>103.76878158480145</v>
      </c>
      <c r="H14" s="188">
        <f t="shared" si="2"/>
        <v>1473.9327899999989</v>
      </c>
      <c r="I14" s="18"/>
      <c r="J14" s="19"/>
      <c r="K14" s="20"/>
      <c r="L14" s="21"/>
      <c r="M14" s="21"/>
    </row>
    <row r="15" spans="1:13" s="22" customFormat="1" ht="24.9" customHeight="1">
      <c r="A15" s="130">
        <v>11</v>
      </c>
      <c r="B15" s="131" t="s">
        <v>67</v>
      </c>
      <c r="C15" s="178">
        <v>177388.79999999999</v>
      </c>
      <c r="D15" s="178">
        <v>25339.119999999999</v>
      </c>
      <c r="E15" s="178">
        <v>26156.072909999999</v>
      </c>
      <c r="F15" s="179">
        <f t="shared" si="0"/>
        <v>14.745053188250893</v>
      </c>
      <c r="G15" s="179">
        <f t="shared" si="1"/>
        <v>103.22407767120563</v>
      </c>
      <c r="H15" s="180">
        <f t="shared" si="2"/>
        <v>816.95290999999997</v>
      </c>
      <c r="I15" s="18"/>
      <c r="J15" s="19"/>
      <c r="K15" s="20"/>
      <c r="L15" s="21"/>
      <c r="M15" s="21"/>
    </row>
    <row r="16" spans="1:13" s="22" customFormat="1" ht="24.9" customHeight="1">
      <c r="A16" s="137">
        <v>12</v>
      </c>
      <c r="B16" s="138" t="s">
        <v>68</v>
      </c>
      <c r="C16" s="181">
        <v>108590.9</v>
      </c>
      <c r="D16" s="181">
        <v>16681.468000000001</v>
      </c>
      <c r="E16" s="182">
        <v>16998.822210000002</v>
      </c>
      <c r="F16" s="183">
        <f t="shared" si="0"/>
        <v>15.654002508497491</v>
      </c>
      <c r="G16" s="183">
        <f t="shared" si="1"/>
        <v>101.90243574486371</v>
      </c>
      <c r="H16" s="184">
        <f t="shared" si="2"/>
        <v>317.35421000000133</v>
      </c>
      <c r="I16" s="18"/>
      <c r="J16" s="19"/>
      <c r="K16" s="20"/>
      <c r="L16" s="21"/>
      <c r="M16" s="21"/>
    </row>
    <row r="17" spans="1:13" s="22" customFormat="1" ht="24.9" customHeight="1">
      <c r="A17" s="137">
        <v>13</v>
      </c>
      <c r="B17" s="146" t="s">
        <v>69</v>
      </c>
      <c r="C17" s="182">
        <v>163822.80799999999</v>
      </c>
      <c r="D17" s="182">
        <v>24912.596000000001</v>
      </c>
      <c r="E17" s="182">
        <v>25772.10828</v>
      </c>
      <c r="F17" s="183">
        <f t="shared" si="0"/>
        <v>15.731697310425789</v>
      </c>
      <c r="G17" s="183">
        <f t="shared" si="1"/>
        <v>103.4501112609862</v>
      </c>
      <c r="H17" s="184">
        <f t="shared" si="2"/>
        <v>859.51227999999901</v>
      </c>
      <c r="I17" s="18"/>
      <c r="J17" s="19"/>
      <c r="K17" s="20"/>
      <c r="L17" s="21"/>
      <c r="M17" s="21"/>
    </row>
    <row r="18" spans="1:13" s="22" customFormat="1" ht="24.9" customHeight="1">
      <c r="A18" s="137">
        <v>14</v>
      </c>
      <c r="B18" s="146" t="s">
        <v>70</v>
      </c>
      <c r="C18" s="182">
        <v>74556.91</v>
      </c>
      <c r="D18" s="182">
        <v>11419.005999999999</v>
      </c>
      <c r="E18" s="182">
        <v>14631.402249999999</v>
      </c>
      <c r="F18" s="183">
        <f t="shared" si="0"/>
        <v>19.624475115720326</v>
      </c>
      <c r="G18" s="183">
        <f t="shared" si="1"/>
        <v>128.13201297906315</v>
      </c>
      <c r="H18" s="184">
        <f t="shared" si="2"/>
        <v>3212.3962499999998</v>
      </c>
      <c r="I18" s="18"/>
      <c r="J18" s="19"/>
      <c r="K18" s="20"/>
      <c r="L18" s="21"/>
      <c r="M18" s="21"/>
    </row>
    <row r="19" spans="1:13" s="22" customFormat="1" ht="24.9" customHeight="1">
      <c r="A19" s="137">
        <v>15</v>
      </c>
      <c r="B19" s="138" t="s">
        <v>71</v>
      </c>
      <c r="C19" s="181">
        <v>78377.066999999995</v>
      </c>
      <c r="D19" s="181">
        <v>11424.049000000001</v>
      </c>
      <c r="E19" s="182">
        <v>13749.46423</v>
      </c>
      <c r="F19" s="183">
        <f t="shared" si="0"/>
        <v>17.542713393447091</v>
      </c>
      <c r="G19" s="183">
        <f t="shared" si="1"/>
        <v>120.35543816382439</v>
      </c>
      <c r="H19" s="184">
        <f t="shared" si="2"/>
        <v>2325.4152299999987</v>
      </c>
      <c r="I19" s="18"/>
      <c r="J19" s="19"/>
      <c r="K19" s="20"/>
      <c r="L19" s="21"/>
      <c r="M19" s="21"/>
    </row>
    <row r="20" spans="1:13" s="22" customFormat="1" ht="24.9" customHeight="1">
      <c r="A20" s="137">
        <v>16</v>
      </c>
      <c r="B20" s="208" t="s">
        <v>72</v>
      </c>
      <c r="C20" s="181">
        <v>240630.35699999999</v>
      </c>
      <c r="D20" s="181">
        <v>39264.755729999997</v>
      </c>
      <c r="E20" s="182">
        <v>36780.287069999998</v>
      </c>
      <c r="F20" s="183">
        <f t="shared" si="0"/>
        <v>15.284973819824405</v>
      </c>
      <c r="G20" s="209">
        <f t="shared" si="1"/>
        <v>93.672522307067979</v>
      </c>
      <c r="H20" s="184">
        <f t="shared" si="2"/>
        <v>-2484.4686599999986</v>
      </c>
      <c r="I20" s="18"/>
      <c r="J20" s="19"/>
      <c r="K20" s="20"/>
      <c r="L20" s="21"/>
      <c r="M20" s="21"/>
    </row>
    <row r="21" spans="1:13" s="22" customFormat="1" ht="24.9" customHeight="1">
      <c r="A21" s="137">
        <v>17</v>
      </c>
      <c r="B21" s="210" t="s">
        <v>73</v>
      </c>
      <c r="C21" s="182">
        <v>175493.33</v>
      </c>
      <c r="D21" s="182">
        <v>28644.37</v>
      </c>
      <c r="E21" s="182">
        <v>27285.278989999999</v>
      </c>
      <c r="F21" s="183">
        <f t="shared" si="0"/>
        <v>15.547758419080656</v>
      </c>
      <c r="G21" s="209">
        <f t="shared" si="1"/>
        <v>95.255294461005775</v>
      </c>
      <c r="H21" s="184">
        <f t="shared" si="2"/>
        <v>-1359.0910100000001</v>
      </c>
      <c r="I21" s="18"/>
      <c r="J21" s="19"/>
      <c r="K21" s="20"/>
      <c r="L21" s="21"/>
      <c r="M21" s="21"/>
    </row>
    <row r="22" spans="1:13" s="22" customFormat="1" ht="24.9" customHeight="1">
      <c r="A22" s="137">
        <v>18</v>
      </c>
      <c r="B22" s="208" t="s">
        <v>74</v>
      </c>
      <c r="C22" s="181">
        <v>91045.849000000002</v>
      </c>
      <c r="D22" s="181">
        <v>15362.958000000001</v>
      </c>
      <c r="E22" s="182">
        <v>14703.940409999999</v>
      </c>
      <c r="F22" s="183">
        <f t="shared" si="0"/>
        <v>16.150039317003898</v>
      </c>
      <c r="G22" s="209">
        <f t="shared" si="1"/>
        <v>95.710346991770706</v>
      </c>
      <c r="H22" s="184">
        <f t="shared" si="2"/>
        <v>-659.01759000000129</v>
      </c>
      <c r="I22" s="18"/>
      <c r="J22" s="19"/>
      <c r="K22" s="20"/>
      <c r="L22" s="21"/>
      <c r="M22" s="21"/>
    </row>
    <row r="23" spans="1:13" s="22" customFormat="1" ht="24.9" customHeight="1">
      <c r="A23" s="137">
        <v>19</v>
      </c>
      <c r="B23" s="146" t="s">
        <v>75</v>
      </c>
      <c r="C23" s="182">
        <v>106076.54</v>
      </c>
      <c r="D23" s="182">
        <v>17564.585999999999</v>
      </c>
      <c r="E23" s="182">
        <v>18503.319460000002</v>
      </c>
      <c r="F23" s="183">
        <f t="shared" si="0"/>
        <v>17.443366327747871</v>
      </c>
      <c r="G23" s="183">
        <f t="shared" si="1"/>
        <v>105.34446675828283</v>
      </c>
      <c r="H23" s="184">
        <f t="shared" si="2"/>
        <v>938.73346000000311</v>
      </c>
      <c r="I23" s="18"/>
      <c r="J23" s="19"/>
      <c r="K23" s="20"/>
      <c r="L23" s="21"/>
      <c r="M23" s="21"/>
    </row>
    <row r="24" spans="1:13" s="22" customFormat="1" ht="24.9" customHeight="1">
      <c r="A24" s="137">
        <v>20</v>
      </c>
      <c r="B24" s="210" t="s">
        <v>76</v>
      </c>
      <c r="C24" s="182">
        <v>33058.33</v>
      </c>
      <c r="D24" s="182">
        <v>8208.0720000000001</v>
      </c>
      <c r="E24" s="182">
        <v>2967.5424900000003</v>
      </c>
      <c r="F24" s="183">
        <f t="shared" si="0"/>
        <v>8.9766860273946101</v>
      </c>
      <c r="G24" s="209">
        <f t="shared" si="1"/>
        <v>36.153952962400915</v>
      </c>
      <c r="H24" s="184">
        <f t="shared" si="2"/>
        <v>-5240.5295100000003</v>
      </c>
      <c r="I24" s="18"/>
      <c r="J24" s="19"/>
      <c r="K24" s="20"/>
      <c r="L24" s="21"/>
      <c r="M24" s="21"/>
    </row>
    <row r="25" spans="1:13" s="22" customFormat="1" ht="24.9" customHeight="1">
      <c r="A25" s="137">
        <v>21</v>
      </c>
      <c r="B25" s="138" t="s">
        <v>77</v>
      </c>
      <c r="C25" s="181">
        <v>97171.008000000002</v>
      </c>
      <c r="D25" s="181">
        <v>13404.944</v>
      </c>
      <c r="E25" s="182">
        <v>14707.800009999999</v>
      </c>
      <c r="F25" s="183">
        <f t="shared" si="0"/>
        <v>15.135996129627468</v>
      </c>
      <c r="G25" s="183">
        <f t="shared" si="1"/>
        <v>109.7192200877527</v>
      </c>
      <c r="H25" s="184">
        <f t="shared" si="2"/>
        <v>1302.8560099999995</v>
      </c>
      <c r="I25" s="18"/>
      <c r="J25" s="19"/>
      <c r="K25" s="20"/>
      <c r="L25" s="21"/>
      <c r="M25" s="21"/>
    </row>
    <row r="26" spans="1:13" s="22" customFormat="1" ht="24.9" customHeight="1">
      <c r="A26" s="137">
        <v>22</v>
      </c>
      <c r="B26" s="146" t="s">
        <v>78</v>
      </c>
      <c r="C26" s="182">
        <v>245424.04500000001</v>
      </c>
      <c r="D26" s="182">
        <v>34604.563999999998</v>
      </c>
      <c r="E26" s="182">
        <v>42259.847470000001</v>
      </c>
      <c r="F26" s="183">
        <f t="shared" si="0"/>
        <v>17.219114561492948</v>
      </c>
      <c r="G26" s="183">
        <f t="shared" si="1"/>
        <v>122.12217865250376</v>
      </c>
      <c r="H26" s="184">
        <f t="shared" si="2"/>
        <v>7655.2834700000021</v>
      </c>
      <c r="I26" s="18"/>
      <c r="J26" s="19"/>
      <c r="K26" s="20"/>
      <c r="L26" s="21"/>
      <c r="M26" s="21"/>
    </row>
    <row r="27" spans="1:13" s="22" customFormat="1" ht="24.9" customHeight="1">
      <c r="A27" s="137">
        <v>23</v>
      </c>
      <c r="B27" s="146" t="s">
        <v>79</v>
      </c>
      <c r="C27" s="182">
        <v>109507.2</v>
      </c>
      <c r="D27" s="182">
        <v>18622.885999999999</v>
      </c>
      <c r="E27" s="182">
        <v>23036.94182</v>
      </c>
      <c r="F27" s="183">
        <f t="shared" si="0"/>
        <v>21.03691978244353</v>
      </c>
      <c r="G27" s="183">
        <f t="shared" si="1"/>
        <v>123.7023188564866</v>
      </c>
      <c r="H27" s="184">
        <f t="shared" si="2"/>
        <v>4414.0558200000014</v>
      </c>
      <c r="I27" s="18"/>
      <c r="J27" s="19"/>
      <c r="K27" s="20"/>
      <c r="L27" s="21"/>
      <c r="M27" s="21"/>
    </row>
    <row r="28" spans="1:13" s="22" customFormat="1" ht="24.9" customHeight="1">
      <c r="A28" s="137">
        <v>24</v>
      </c>
      <c r="B28" s="138" t="s">
        <v>80</v>
      </c>
      <c r="C28" s="181">
        <v>31984.799999999999</v>
      </c>
      <c r="D28" s="181">
        <v>3406.54</v>
      </c>
      <c r="E28" s="182">
        <v>4233.2454400000006</v>
      </c>
      <c r="F28" s="183">
        <f t="shared" si="0"/>
        <v>13.235178709887199</v>
      </c>
      <c r="G28" s="183">
        <f t="shared" si="1"/>
        <v>124.26818531413106</v>
      </c>
      <c r="H28" s="184">
        <f t="shared" si="2"/>
        <v>826.70544000000064</v>
      </c>
      <c r="I28" s="18"/>
      <c r="J28" s="19"/>
      <c r="K28" s="20"/>
      <c r="L28" s="21"/>
      <c r="M28" s="21"/>
    </row>
    <row r="29" spans="1:13" s="22" customFormat="1" ht="24.9" customHeight="1">
      <c r="A29" s="137">
        <v>25</v>
      </c>
      <c r="B29" s="138" t="s">
        <v>81</v>
      </c>
      <c r="C29" s="181">
        <v>107532.375</v>
      </c>
      <c r="D29" s="181">
        <v>11729.896000000001</v>
      </c>
      <c r="E29" s="182">
        <v>13218.07152</v>
      </c>
      <c r="F29" s="183">
        <f t="shared" si="0"/>
        <v>12.292178536928994</v>
      </c>
      <c r="G29" s="183">
        <f t="shared" si="1"/>
        <v>112.68703081425444</v>
      </c>
      <c r="H29" s="184">
        <f t="shared" si="2"/>
        <v>1488.1755199999989</v>
      </c>
      <c r="I29" s="18"/>
      <c r="J29" s="19"/>
      <c r="K29" s="20"/>
      <c r="L29" s="21"/>
      <c r="M29" s="21"/>
    </row>
    <row r="30" spans="1:13" s="22" customFormat="1" ht="24.9" customHeight="1">
      <c r="A30" s="137">
        <v>26</v>
      </c>
      <c r="B30" s="146" t="s">
        <v>82</v>
      </c>
      <c r="C30" s="182">
        <v>214217.72</v>
      </c>
      <c r="D30" s="182">
        <v>33159.82</v>
      </c>
      <c r="E30" s="182">
        <v>44940.046840000003</v>
      </c>
      <c r="F30" s="183">
        <f t="shared" si="0"/>
        <v>20.978678533223118</v>
      </c>
      <c r="G30" s="183">
        <f t="shared" si="1"/>
        <v>135.52560550690566</v>
      </c>
      <c r="H30" s="184">
        <f t="shared" si="2"/>
        <v>11780.226840000003</v>
      </c>
      <c r="I30" s="18"/>
      <c r="J30" s="19"/>
      <c r="K30" s="20"/>
      <c r="L30" s="21"/>
      <c r="M30" s="21"/>
    </row>
    <row r="31" spans="1:13" s="22" customFormat="1" ht="24.9" customHeight="1">
      <c r="A31" s="137">
        <v>27</v>
      </c>
      <c r="B31" s="153" t="s">
        <v>83</v>
      </c>
      <c r="C31" s="181">
        <v>93888.774999999994</v>
      </c>
      <c r="D31" s="181">
        <v>12223.481</v>
      </c>
      <c r="E31" s="182">
        <v>13727.428749999999</v>
      </c>
      <c r="F31" s="183">
        <f t="shared" si="0"/>
        <v>14.620947765054982</v>
      </c>
      <c r="G31" s="183">
        <f t="shared" si="1"/>
        <v>112.30375987004028</v>
      </c>
      <c r="H31" s="184">
        <f t="shared" si="2"/>
        <v>1503.9477499999994</v>
      </c>
      <c r="I31" s="18"/>
      <c r="J31" s="19"/>
      <c r="K31" s="20"/>
      <c r="L31" s="21"/>
      <c r="M31" s="21"/>
    </row>
    <row r="32" spans="1:13" s="22" customFormat="1" ht="24.9" customHeight="1">
      <c r="A32" s="137">
        <v>28</v>
      </c>
      <c r="B32" s="138" t="s">
        <v>84</v>
      </c>
      <c r="C32" s="181">
        <v>259175.08499999999</v>
      </c>
      <c r="D32" s="181">
        <v>33764.478999999999</v>
      </c>
      <c r="E32" s="182">
        <v>37867.797039999998</v>
      </c>
      <c r="F32" s="183">
        <f t="shared" si="0"/>
        <v>14.610894037133237</v>
      </c>
      <c r="G32" s="183">
        <f t="shared" si="1"/>
        <v>112.15276575125</v>
      </c>
      <c r="H32" s="184">
        <f t="shared" si="2"/>
        <v>4103.3180399999983</v>
      </c>
      <c r="I32" s="18"/>
      <c r="J32" s="19"/>
      <c r="K32" s="20"/>
      <c r="L32" s="21"/>
      <c r="M32" s="21"/>
    </row>
    <row r="33" spans="1:13" s="22" customFormat="1" ht="24.9" customHeight="1">
      <c r="A33" s="137">
        <v>29</v>
      </c>
      <c r="B33" s="138" t="s">
        <v>85</v>
      </c>
      <c r="C33" s="182">
        <v>59083.4</v>
      </c>
      <c r="D33" s="182">
        <v>7959.7439999999997</v>
      </c>
      <c r="E33" s="182">
        <v>8374.5673999999999</v>
      </c>
      <c r="F33" s="183">
        <f t="shared" si="0"/>
        <v>14.174146037634936</v>
      </c>
      <c r="G33" s="183">
        <f t="shared" si="1"/>
        <v>105.2115168528033</v>
      </c>
      <c r="H33" s="184">
        <f t="shared" si="2"/>
        <v>414.82340000000022</v>
      </c>
      <c r="I33" s="18"/>
      <c r="J33" s="19"/>
      <c r="K33" s="20"/>
      <c r="L33" s="21"/>
      <c r="M33" s="21"/>
    </row>
    <row r="34" spans="1:13" s="22" customFormat="1" ht="24.9" customHeight="1" thickBot="1">
      <c r="A34" s="189">
        <v>30</v>
      </c>
      <c r="B34" s="211" t="s">
        <v>86</v>
      </c>
      <c r="C34" s="190">
        <v>401627.07699999999</v>
      </c>
      <c r="D34" s="190">
        <v>68160.837</v>
      </c>
      <c r="E34" s="190">
        <v>67089.473799999992</v>
      </c>
      <c r="F34" s="191">
        <f t="shared" si="0"/>
        <v>16.704420006024641</v>
      </c>
      <c r="G34" s="212">
        <f t="shared" si="1"/>
        <v>98.42818362104326</v>
      </c>
      <c r="H34" s="192">
        <f t="shared" si="2"/>
        <v>-1071.3632000000071</v>
      </c>
      <c r="I34" s="18"/>
      <c r="J34" s="19"/>
      <c r="K34" s="20"/>
      <c r="L34" s="21"/>
      <c r="M34" s="21"/>
    </row>
    <row r="35" spans="1:13" s="22" customFormat="1" ht="24.9" customHeight="1">
      <c r="A35" s="193">
        <v>31</v>
      </c>
      <c r="B35" s="213" t="s">
        <v>41</v>
      </c>
      <c r="C35" s="178">
        <v>12932.47</v>
      </c>
      <c r="D35" s="178">
        <v>2295.87</v>
      </c>
      <c r="E35" s="178">
        <v>730.32673999999997</v>
      </c>
      <c r="F35" s="179">
        <f t="shared" si="0"/>
        <v>5.6472332044845261</v>
      </c>
      <c r="G35" s="215">
        <f t="shared" si="1"/>
        <v>31.810457038072716</v>
      </c>
      <c r="H35" s="180">
        <f t="shared" si="2"/>
        <v>-1565.5432599999999</v>
      </c>
      <c r="I35" s="18"/>
      <c r="J35" s="19"/>
      <c r="K35" s="20"/>
      <c r="L35" s="21"/>
      <c r="M35" s="21"/>
    </row>
    <row r="36" spans="1:13" s="22" customFormat="1" ht="24.9" customHeight="1">
      <c r="A36" s="194">
        <v>32</v>
      </c>
      <c r="B36" s="214" t="s">
        <v>42</v>
      </c>
      <c r="C36" s="182">
        <v>9033.6</v>
      </c>
      <c r="D36" s="182">
        <v>1414.4</v>
      </c>
      <c r="E36" s="182">
        <v>990.73782999999992</v>
      </c>
      <c r="F36" s="183">
        <f t="shared" si="0"/>
        <v>10.967253697307827</v>
      </c>
      <c r="G36" s="209">
        <f t="shared" si="1"/>
        <v>70.046509473981885</v>
      </c>
      <c r="H36" s="184">
        <f t="shared" si="2"/>
        <v>-423.66217000000017</v>
      </c>
      <c r="I36" s="18"/>
      <c r="J36" s="19"/>
      <c r="K36" s="20"/>
      <c r="L36" s="21"/>
      <c r="M36" s="21"/>
    </row>
    <row r="37" spans="1:13" s="22" customFormat="1" ht="24.9" customHeight="1">
      <c r="A37" s="194">
        <v>33</v>
      </c>
      <c r="B37" s="162" t="s">
        <v>43</v>
      </c>
      <c r="C37" s="182">
        <v>2000</v>
      </c>
      <c r="D37" s="182">
        <v>212</v>
      </c>
      <c r="E37" s="182">
        <v>564.03354000000002</v>
      </c>
      <c r="F37" s="183">
        <f t="shared" si="0"/>
        <v>28.201677000000004</v>
      </c>
      <c r="G37" s="183">
        <f t="shared" si="1"/>
        <v>266.05355660377359</v>
      </c>
      <c r="H37" s="184">
        <f t="shared" si="2"/>
        <v>352.03354000000002</v>
      </c>
      <c r="I37" s="18"/>
      <c r="J37" s="19"/>
      <c r="K37" s="20"/>
      <c r="L37" s="21"/>
      <c r="M37" s="21"/>
    </row>
    <row r="38" spans="1:13" s="22" customFormat="1" ht="24.9" customHeight="1">
      <c r="A38" s="194">
        <v>34</v>
      </c>
      <c r="B38" s="162" t="s">
        <v>44</v>
      </c>
      <c r="C38" s="182">
        <v>3505</v>
      </c>
      <c r="D38" s="182">
        <v>480.5</v>
      </c>
      <c r="E38" s="182">
        <v>499.16514000000001</v>
      </c>
      <c r="F38" s="183">
        <f t="shared" si="0"/>
        <v>14.241516119828814</v>
      </c>
      <c r="G38" s="183">
        <f t="shared" si="1"/>
        <v>103.88452445369407</v>
      </c>
      <c r="H38" s="184">
        <f t="shared" si="2"/>
        <v>18.665140000000008</v>
      </c>
      <c r="I38" s="18"/>
      <c r="J38" s="19">
        <f>'за видами надходжень'!H7-'мб зф по АТО'!E70</f>
        <v>0</v>
      </c>
      <c r="K38" s="20"/>
      <c r="L38" s="21"/>
      <c r="M38" s="21"/>
    </row>
    <row r="39" spans="1:13" s="22" customFormat="1" ht="24.9" customHeight="1">
      <c r="A39" s="194">
        <v>35</v>
      </c>
      <c r="B39" s="162" t="s">
        <v>38</v>
      </c>
      <c r="C39" s="182">
        <v>12640.4</v>
      </c>
      <c r="D39" s="182">
        <v>1947.923</v>
      </c>
      <c r="E39" s="182">
        <v>2027.90074</v>
      </c>
      <c r="F39" s="183">
        <f t="shared" si="0"/>
        <v>16.043010822442326</v>
      </c>
      <c r="G39" s="183">
        <f t="shared" si="1"/>
        <v>104.10579576297421</v>
      </c>
      <c r="H39" s="184">
        <f t="shared" si="2"/>
        <v>79.97774000000004</v>
      </c>
      <c r="I39" s="18"/>
      <c r="J39" s="19"/>
      <c r="K39" s="20"/>
      <c r="L39" s="21"/>
      <c r="M39" s="21"/>
    </row>
    <row r="40" spans="1:13" s="22" customFormat="1" ht="24.9" customHeight="1">
      <c r="A40" s="194">
        <v>36</v>
      </c>
      <c r="B40" s="214" t="s">
        <v>51</v>
      </c>
      <c r="C40" s="182">
        <v>8441.0470000000005</v>
      </c>
      <c r="D40" s="182">
        <v>1400.2139999999999</v>
      </c>
      <c r="E40" s="182">
        <v>991.48329000000001</v>
      </c>
      <c r="F40" s="183">
        <f t="shared" si="0"/>
        <v>11.74597523269329</v>
      </c>
      <c r="G40" s="209">
        <f t="shared" si="1"/>
        <v>70.809411275705003</v>
      </c>
      <c r="H40" s="184">
        <f t="shared" si="2"/>
        <v>-408.73070999999993</v>
      </c>
      <c r="I40" s="18"/>
      <c r="J40" s="19"/>
      <c r="K40" s="20"/>
      <c r="L40" s="21"/>
      <c r="M40" s="21"/>
    </row>
    <row r="41" spans="1:13" s="22" customFormat="1" ht="24.9" customHeight="1">
      <c r="A41" s="194">
        <v>37</v>
      </c>
      <c r="B41" s="214" t="s">
        <v>45</v>
      </c>
      <c r="C41" s="182">
        <v>5942.9</v>
      </c>
      <c r="D41" s="182">
        <v>994.3</v>
      </c>
      <c r="E41" s="182">
        <v>937.4674</v>
      </c>
      <c r="F41" s="183">
        <f t="shared" si="0"/>
        <v>15.774578067946626</v>
      </c>
      <c r="G41" s="209">
        <f t="shared" si="1"/>
        <v>94.284159710348987</v>
      </c>
      <c r="H41" s="184">
        <f t="shared" si="2"/>
        <v>-56.832599999999957</v>
      </c>
      <c r="I41" s="18"/>
      <c r="J41" s="19"/>
      <c r="K41" s="20"/>
      <c r="L41" s="21"/>
      <c r="M41" s="21"/>
    </row>
    <row r="42" spans="1:13" s="22" customFormat="1" ht="24.9" customHeight="1">
      <c r="A42" s="194">
        <v>38</v>
      </c>
      <c r="B42" s="214" t="s">
        <v>37</v>
      </c>
      <c r="C42" s="182">
        <v>7016.9049999999997</v>
      </c>
      <c r="D42" s="182">
        <v>1284.7049999999999</v>
      </c>
      <c r="E42" s="182">
        <v>974.91729000000009</v>
      </c>
      <c r="F42" s="183">
        <f t="shared" si="0"/>
        <v>13.893836242616938</v>
      </c>
      <c r="G42" s="209">
        <f t="shared" si="1"/>
        <v>75.886471213235737</v>
      </c>
      <c r="H42" s="184">
        <f t="shared" si="2"/>
        <v>-309.78770999999983</v>
      </c>
      <c r="I42" s="18"/>
      <c r="J42" s="19"/>
      <c r="K42" s="20"/>
      <c r="L42" s="21"/>
      <c r="M42" s="21"/>
    </row>
    <row r="43" spans="1:13" s="22" customFormat="1" ht="24.9" customHeight="1">
      <c r="A43" s="194">
        <v>39</v>
      </c>
      <c r="B43" s="214" t="s">
        <v>46</v>
      </c>
      <c r="C43" s="182">
        <v>2884</v>
      </c>
      <c r="D43" s="182">
        <v>370.00099999999998</v>
      </c>
      <c r="E43" s="182">
        <v>346.84429999999998</v>
      </c>
      <c r="F43" s="183">
        <f t="shared" si="0"/>
        <v>12.026501386962551</v>
      </c>
      <c r="G43" s="209">
        <f t="shared" si="1"/>
        <v>93.741449347434198</v>
      </c>
      <c r="H43" s="184">
        <f t="shared" si="2"/>
        <v>-23.156700000000001</v>
      </c>
      <c r="I43" s="18"/>
      <c r="J43" s="19"/>
      <c r="K43" s="20"/>
      <c r="L43" s="21"/>
      <c r="M43" s="21"/>
    </row>
    <row r="44" spans="1:13" s="22" customFormat="1" ht="24.9" customHeight="1">
      <c r="A44" s="194">
        <v>40</v>
      </c>
      <c r="B44" s="162" t="s">
        <v>49</v>
      </c>
      <c r="C44" s="182">
        <v>2797.4</v>
      </c>
      <c r="D44" s="182">
        <v>449.72</v>
      </c>
      <c r="E44" s="182">
        <v>471.53609</v>
      </c>
      <c r="F44" s="183">
        <f t="shared" si="0"/>
        <v>16.856226853506829</v>
      </c>
      <c r="G44" s="183">
        <f t="shared" si="1"/>
        <v>104.85103842390819</v>
      </c>
      <c r="H44" s="184">
        <f t="shared" si="2"/>
        <v>21.816089999999974</v>
      </c>
      <c r="I44" s="18"/>
      <c r="J44" s="19"/>
      <c r="K44" s="20"/>
      <c r="L44" s="21"/>
      <c r="M44" s="21"/>
    </row>
    <row r="45" spans="1:13" s="22" customFormat="1" ht="24.9" customHeight="1">
      <c r="A45" s="194">
        <v>41</v>
      </c>
      <c r="B45" s="162" t="s">
        <v>47</v>
      </c>
      <c r="C45" s="182">
        <v>23841.200000000001</v>
      </c>
      <c r="D45" s="182">
        <v>3046.8</v>
      </c>
      <c r="E45" s="182">
        <v>3229.5815200000002</v>
      </c>
      <c r="F45" s="183">
        <f t="shared" si="0"/>
        <v>13.546220492257103</v>
      </c>
      <c r="G45" s="183">
        <f t="shared" si="1"/>
        <v>105.99913089142707</v>
      </c>
      <c r="H45" s="184">
        <f t="shared" si="2"/>
        <v>182.78152</v>
      </c>
      <c r="I45" s="18"/>
      <c r="J45" s="19"/>
      <c r="K45" s="20"/>
      <c r="L45" s="21"/>
      <c r="M45" s="21"/>
    </row>
    <row r="46" spans="1:13" s="22" customFormat="1" ht="24.9" customHeight="1">
      <c r="A46" s="194">
        <v>42</v>
      </c>
      <c r="B46" s="214" t="s">
        <v>50</v>
      </c>
      <c r="C46" s="182">
        <v>4285</v>
      </c>
      <c r="D46" s="182">
        <v>606.41</v>
      </c>
      <c r="E46" s="182">
        <v>588.83681999999999</v>
      </c>
      <c r="F46" s="183">
        <f t="shared" si="0"/>
        <v>13.74181610268378</v>
      </c>
      <c r="G46" s="209">
        <f t="shared" si="1"/>
        <v>97.102095941689612</v>
      </c>
      <c r="H46" s="184">
        <f t="shared" si="2"/>
        <v>-17.573179999999979</v>
      </c>
      <c r="I46" s="18"/>
      <c r="J46" s="19"/>
      <c r="K46" s="20"/>
      <c r="L46" s="21"/>
      <c r="M46" s="21"/>
    </row>
    <row r="47" spans="1:13" s="22" customFormat="1" ht="24.9" customHeight="1">
      <c r="A47" s="194">
        <v>43</v>
      </c>
      <c r="B47" s="214" t="s">
        <v>39</v>
      </c>
      <c r="C47" s="182">
        <v>6327.4</v>
      </c>
      <c r="D47" s="182">
        <v>1019.622</v>
      </c>
      <c r="E47" s="182">
        <v>944.28422</v>
      </c>
      <c r="F47" s="183">
        <f t="shared" si="0"/>
        <v>14.92373202263173</v>
      </c>
      <c r="G47" s="209">
        <f t="shared" si="1"/>
        <v>92.611204936731468</v>
      </c>
      <c r="H47" s="184">
        <f t="shared" si="2"/>
        <v>-75.337779999999952</v>
      </c>
      <c r="I47" s="18"/>
      <c r="J47" s="19"/>
      <c r="K47" s="20"/>
      <c r="L47" s="21"/>
      <c r="M47" s="21"/>
    </row>
    <row r="48" spans="1:13" s="22" customFormat="1" ht="24.9" customHeight="1">
      <c r="A48" s="194">
        <v>44</v>
      </c>
      <c r="B48" s="214" t="s">
        <v>40</v>
      </c>
      <c r="C48" s="182">
        <v>34838</v>
      </c>
      <c r="D48" s="182">
        <v>5260.11</v>
      </c>
      <c r="E48" s="182">
        <v>4647.51883</v>
      </c>
      <c r="F48" s="183">
        <f t="shared" si="0"/>
        <v>13.340372093690798</v>
      </c>
      <c r="G48" s="209">
        <f t="shared" si="1"/>
        <v>88.354023585058115</v>
      </c>
      <c r="H48" s="184">
        <f t="shared" si="2"/>
        <v>-612.59116999999969</v>
      </c>
      <c r="I48" s="18"/>
      <c r="J48" s="19"/>
      <c r="K48" s="20"/>
      <c r="L48" s="21"/>
      <c r="M48" s="21"/>
    </row>
    <row r="49" spans="1:13" s="22" customFormat="1" ht="24.9" customHeight="1">
      <c r="A49" s="194">
        <v>45</v>
      </c>
      <c r="B49" s="216" t="s">
        <v>48</v>
      </c>
      <c r="C49" s="186">
        <v>3444</v>
      </c>
      <c r="D49" s="186">
        <v>606.1</v>
      </c>
      <c r="E49" s="186">
        <v>495.22449</v>
      </c>
      <c r="F49" s="187">
        <f t="shared" si="0"/>
        <v>14.379340592334493</v>
      </c>
      <c r="G49" s="209">
        <f t="shared" si="1"/>
        <v>81.706729912555687</v>
      </c>
      <c r="H49" s="184">
        <f t="shared" si="2"/>
        <v>-110.87551000000002</v>
      </c>
      <c r="I49" s="18"/>
      <c r="J49" s="19"/>
      <c r="K49" s="20"/>
      <c r="L49" s="21"/>
      <c r="M49" s="21"/>
    </row>
    <row r="50" spans="1:13" s="22" customFormat="1" ht="24.9" customHeight="1">
      <c r="A50" s="194">
        <v>46</v>
      </c>
      <c r="B50" s="216" t="s">
        <v>58</v>
      </c>
      <c r="C50" s="186">
        <v>59851.4</v>
      </c>
      <c r="D50" s="186">
        <v>10104.870000000001</v>
      </c>
      <c r="E50" s="186">
        <v>8424.0013600000002</v>
      </c>
      <c r="F50" s="187">
        <f t="shared" si="0"/>
        <v>14.074861005757594</v>
      </c>
      <c r="G50" s="209">
        <f t="shared" si="1"/>
        <v>83.365756907312999</v>
      </c>
      <c r="H50" s="184">
        <f t="shared" si="2"/>
        <v>-1680.8686400000006</v>
      </c>
      <c r="I50" s="18"/>
      <c r="J50" s="19"/>
      <c r="K50" s="20"/>
      <c r="L50" s="21"/>
      <c r="M50" s="21"/>
    </row>
    <row r="51" spans="1:13" s="22" customFormat="1" ht="24.9" customHeight="1">
      <c r="A51" s="194">
        <v>47</v>
      </c>
      <c r="B51" s="216" t="s">
        <v>59</v>
      </c>
      <c r="C51" s="186">
        <v>60486.400000000001</v>
      </c>
      <c r="D51" s="186">
        <v>9514.8760000000002</v>
      </c>
      <c r="E51" s="186">
        <v>7748.5958799999999</v>
      </c>
      <c r="F51" s="187">
        <f t="shared" si="0"/>
        <v>12.810476206221564</v>
      </c>
      <c r="G51" s="209">
        <f t="shared" si="1"/>
        <v>81.436645942627095</v>
      </c>
      <c r="H51" s="184">
        <f t="shared" si="2"/>
        <v>-1766.2801200000004</v>
      </c>
      <c r="I51" s="18"/>
      <c r="J51" s="19"/>
      <c r="K51" s="20"/>
      <c r="L51" s="21"/>
      <c r="M51" s="21"/>
    </row>
    <row r="52" spans="1:13" s="22" customFormat="1" ht="24.9" customHeight="1">
      <c r="A52" s="194">
        <v>48</v>
      </c>
      <c r="B52" s="163" t="s">
        <v>60</v>
      </c>
      <c r="C52" s="186">
        <v>16593.599999999999</v>
      </c>
      <c r="D52" s="186">
        <v>2390.1819999999998</v>
      </c>
      <c r="E52" s="186">
        <v>2658.5045399999999</v>
      </c>
      <c r="F52" s="187">
        <f t="shared" si="0"/>
        <v>16.021264463407579</v>
      </c>
      <c r="G52" s="183">
        <f t="shared" si="1"/>
        <v>111.22602964962502</v>
      </c>
      <c r="H52" s="184">
        <f t="shared" si="2"/>
        <v>268.32254000000012</v>
      </c>
      <c r="I52" s="18"/>
      <c r="J52" s="19"/>
      <c r="K52" s="20"/>
      <c r="L52" s="21"/>
      <c r="M52" s="21"/>
    </row>
    <row r="53" spans="1:13" s="22" customFormat="1" ht="24.9" customHeight="1">
      <c r="A53" s="194">
        <v>49</v>
      </c>
      <c r="B53" s="216" t="s">
        <v>61</v>
      </c>
      <c r="C53" s="186">
        <v>4221.8999999999996</v>
      </c>
      <c r="D53" s="186">
        <v>698.38900000000001</v>
      </c>
      <c r="E53" s="186">
        <v>627.16035999999997</v>
      </c>
      <c r="F53" s="187">
        <f t="shared" si="0"/>
        <v>14.854931665837656</v>
      </c>
      <c r="G53" s="209">
        <f t="shared" si="1"/>
        <v>89.801007747831079</v>
      </c>
      <c r="H53" s="184">
        <f t="shared" si="2"/>
        <v>-71.228640000000041</v>
      </c>
      <c r="I53" s="18"/>
      <c r="J53" s="19"/>
      <c r="K53" s="20"/>
      <c r="L53" s="21"/>
      <c r="M53" s="21"/>
    </row>
    <row r="54" spans="1:13" s="22" customFormat="1" ht="24.9" customHeight="1">
      <c r="A54" s="194">
        <v>50</v>
      </c>
      <c r="B54" s="163" t="s">
        <v>62</v>
      </c>
      <c r="C54" s="186">
        <v>43436.7</v>
      </c>
      <c r="D54" s="186">
        <v>4948.2539999999999</v>
      </c>
      <c r="E54" s="186">
        <v>5147.8521000000001</v>
      </c>
      <c r="F54" s="187">
        <f t="shared" si="0"/>
        <v>11.851388572336297</v>
      </c>
      <c r="G54" s="183">
        <f t="shared" si="1"/>
        <v>104.03370764718223</v>
      </c>
      <c r="H54" s="184">
        <f t="shared" si="2"/>
        <v>199.59810000000016</v>
      </c>
      <c r="I54" s="18"/>
      <c r="J54" s="19"/>
      <c r="K54" s="20"/>
      <c r="L54" s="21"/>
      <c r="M54" s="21"/>
    </row>
    <row r="55" spans="1:13" s="22" customFormat="1" ht="24.9" customHeight="1">
      <c r="A55" s="194">
        <v>51</v>
      </c>
      <c r="B55" s="163" t="s">
        <v>63</v>
      </c>
      <c r="C55" s="186">
        <v>23031.357</v>
      </c>
      <c r="D55" s="186">
        <v>4161.665</v>
      </c>
      <c r="E55" s="186">
        <v>4338.1776600000003</v>
      </c>
      <c r="F55" s="187">
        <f t="shared" si="0"/>
        <v>18.835962032111269</v>
      </c>
      <c r="G55" s="183">
        <f t="shared" si="1"/>
        <v>104.24139521081106</v>
      </c>
      <c r="H55" s="184">
        <f t="shared" si="2"/>
        <v>176.51266000000032</v>
      </c>
      <c r="I55" s="18"/>
      <c r="J55" s="19"/>
      <c r="K55" s="20"/>
      <c r="L55" s="21"/>
      <c r="M55" s="21"/>
    </row>
    <row r="56" spans="1:13" s="22" customFormat="1" ht="24.9" customHeight="1">
      <c r="A56" s="195">
        <v>52</v>
      </c>
      <c r="B56" s="163" t="s">
        <v>64</v>
      </c>
      <c r="C56" s="196">
        <v>17539.5</v>
      </c>
      <c r="D56" s="182">
        <v>1977.818</v>
      </c>
      <c r="E56" s="182">
        <v>2272.06891</v>
      </c>
      <c r="F56" s="187">
        <f t="shared" si="0"/>
        <v>12.954011858946949</v>
      </c>
      <c r="G56" s="187">
        <f t="shared" si="1"/>
        <v>114.87755243404601</v>
      </c>
      <c r="H56" s="188">
        <f t="shared" si="2"/>
        <v>294.25090999999998</v>
      </c>
      <c r="I56" s="18"/>
      <c r="J56" s="19"/>
      <c r="K56" s="20"/>
      <c r="L56" s="21"/>
      <c r="M56" s="21"/>
    </row>
    <row r="57" spans="1:13" s="22" customFormat="1" ht="24.9" customHeight="1">
      <c r="A57" s="166">
        <v>53</v>
      </c>
      <c r="B57" s="214" t="s">
        <v>94</v>
      </c>
      <c r="C57" s="196">
        <v>15800.2</v>
      </c>
      <c r="D57" s="182">
        <v>2751.9580000000001</v>
      </c>
      <c r="E57" s="182">
        <v>2022.0159099999998</v>
      </c>
      <c r="F57" s="187">
        <f t="shared" ref="F57:F69" si="3">E57/C57*100</f>
        <v>12.797407058138502</v>
      </c>
      <c r="G57" s="217">
        <f t="shared" ref="G57:G69" si="4">E57/D57*100</f>
        <v>73.475536690603562</v>
      </c>
      <c r="H57" s="188">
        <f t="shared" ref="H57:H69" si="5">E57-D57</f>
        <v>-729.94209000000023</v>
      </c>
      <c r="I57" s="18"/>
      <c r="J57" s="19"/>
      <c r="K57" s="20"/>
      <c r="L57" s="21"/>
      <c r="M57" s="21"/>
    </row>
    <row r="58" spans="1:13" s="22" customFormat="1" ht="24.9" customHeight="1">
      <c r="A58" s="166">
        <v>54</v>
      </c>
      <c r="B58" s="162" t="s">
        <v>95</v>
      </c>
      <c r="C58" s="197">
        <v>6558.3</v>
      </c>
      <c r="D58" s="182">
        <v>1029.558</v>
      </c>
      <c r="E58" s="182">
        <v>1029.87572</v>
      </c>
      <c r="F58" s="187">
        <f t="shared" si="3"/>
        <v>15.703394477227331</v>
      </c>
      <c r="G58" s="187">
        <f t="shared" si="4"/>
        <v>100.03085984471005</v>
      </c>
      <c r="H58" s="188">
        <f t="shared" si="5"/>
        <v>0.31772000000000844</v>
      </c>
      <c r="I58" s="18"/>
      <c r="J58" s="19"/>
      <c r="K58" s="20"/>
      <c r="L58" s="21"/>
      <c r="M58" s="21"/>
    </row>
    <row r="59" spans="1:13" s="22" customFormat="1" ht="24.9" customHeight="1">
      <c r="A59" s="166">
        <v>55</v>
      </c>
      <c r="B59" s="214" t="s">
        <v>96</v>
      </c>
      <c r="C59" s="197">
        <v>16623.3</v>
      </c>
      <c r="D59" s="182">
        <v>3176.4</v>
      </c>
      <c r="E59" s="182">
        <v>2220.7904399999998</v>
      </c>
      <c r="F59" s="187">
        <f t="shared" si="3"/>
        <v>13.35950406958907</v>
      </c>
      <c r="G59" s="217">
        <f t="shared" si="4"/>
        <v>69.915326785039653</v>
      </c>
      <c r="H59" s="188">
        <f t="shared" si="5"/>
        <v>-955.60956000000033</v>
      </c>
      <c r="I59" s="18"/>
      <c r="J59" s="19"/>
      <c r="K59" s="20"/>
      <c r="L59" s="21"/>
      <c r="M59" s="21"/>
    </row>
    <row r="60" spans="1:13" s="22" customFormat="1" ht="24.9" customHeight="1">
      <c r="A60" s="166">
        <v>56</v>
      </c>
      <c r="B60" s="214" t="s">
        <v>97</v>
      </c>
      <c r="C60" s="197">
        <v>13122.4</v>
      </c>
      <c r="D60" s="182">
        <v>1948.2</v>
      </c>
      <c r="E60" s="182">
        <v>1364.0282299999999</v>
      </c>
      <c r="F60" s="187">
        <f t="shared" si="3"/>
        <v>10.394655169786015</v>
      </c>
      <c r="G60" s="217">
        <f t="shared" si="4"/>
        <v>70.014794682270804</v>
      </c>
      <c r="H60" s="188">
        <f t="shared" si="5"/>
        <v>-584.17177000000015</v>
      </c>
      <c r="I60" s="18"/>
      <c r="J60" s="19"/>
      <c r="K60" s="20"/>
      <c r="L60" s="21"/>
      <c r="M60" s="21"/>
    </row>
    <row r="61" spans="1:13" s="22" customFormat="1" ht="24.9" customHeight="1">
      <c r="A61" s="166">
        <v>57</v>
      </c>
      <c r="B61" s="214" t="s">
        <v>98</v>
      </c>
      <c r="C61" s="197">
        <v>20000</v>
      </c>
      <c r="D61" s="182">
        <v>2248.4</v>
      </c>
      <c r="E61" s="182">
        <v>1688.95291</v>
      </c>
      <c r="F61" s="187">
        <f t="shared" si="3"/>
        <v>8.4447645500000004</v>
      </c>
      <c r="G61" s="217">
        <f t="shared" si="4"/>
        <v>75.117991015833468</v>
      </c>
      <c r="H61" s="188">
        <f t="shared" si="5"/>
        <v>-559.44709000000012</v>
      </c>
      <c r="I61" s="18"/>
      <c r="J61" s="19"/>
      <c r="K61" s="20"/>
      <c r="L61" s="21"/>
      <c r="M61" s="21"/>
    </row>
    <row r="62" spans="1:13" s="22" customFormat="1" ht="24.9" customHeight="1">
      <c r="A62" s="166">
        <v>58</v>
      </c>
      <c r="B62" s="162" t="s">
        <v>99</v>
      </c>
      <c r="C62" s="197">
        <v>61140.3</v>
      </c>
      <c r="D62" s="182">
        <v>8763.5869999999995</v>
      </c>
      <c r="E62" s="182">
        <v>10355.81544</v>
      </c>
      <c r="F62" s="187">
        <f t="shared" si="3"/>
        <v>16.93778970662558</v>
      </c>
      <c r="G62" s="187">
        <f t="shared" si="4"/>
        <v>118.16868412443444</v>
      </c>
      <c r="H62" s="188">
        <f t="shared" si="5"/>
        <v>1592.2284400000008</v>
      </c>
      <c r="I62" s="18"/>
      <c r="J62" s="19"/>
      <c r="K62" s="20"/>
      <c r="L62" s="21"/>
      <c r="M62" s="21"/>
    </row>
    <row r="63" spans="1:13" s="22" customFormat="1" ht="24.9" customHeight="1">
      <c r="A63" s="166">
        <v>59</v>
      </c>
      <c r="B63" s="214" t="s">
        <v>100</v>
      </c>
      <c r="C63" s="197">
        <v>20453.900000000001</v>
      </c>
      <c r="D63" s="182">
        <v>3162.6060000000002</v>
      </c>
      <c r="E63" s="182">
        <v>2661.3358599999997</v>
      </c>
      <c r="F63" s="187">
        <f t="shared" si="3"/>
        <v>13.011385897066083</v>
      </c>
      <c r="G63" s="217">
        <f t="shared" si="4"/>
        <v>84.150092044345698</v>
      </c>
      <c r="H63" s="188">
        <f t="shared" si="5"/>
        <v>-501.27014000000054</v>
      </c>
      <c r="I63" s="18"/>
      <c r="J63" s="19"/>
      <c r="K63" s="20"/>
      <c r="L63" s="21"/>
      <c r="M63" s="21"/>
    </row>
    <row r="64" spans="1:13" s="22" customFormat="1" ht="24.9" customHeight="1">
      <c r="A64" s="166">
        <v>60</v>
      </c>
      <c r="B64" s="214" t="s">
        <v>101</v>
      </c>
      <c r="C64" s="197">
        <v>22430</v>
      </c>
      <c r="D64" s="182">
        <v>3112</v>
      </c>
      <c r="E64" s="182">
        <v>2372.9202099999998</v>
      </c>
      <c r="F64" s="187">
        <f t="shared" si="3"/>
        <v>10.579225189478377</v>
      </c>
      <c r="G64" s="217">
        <f t="shared" si="4"/>
        <v>76.25064942159382</v>
      </c>
      <c r="H64" s="188">
        <f t="shared" si="5"/>
        <v>-739.07979000000023</v>
      </c>
      <c r="I64" s="18"/>
      <c r="J64" s="19"/>
      <c r="K64" s="20"/>
      <c r="L64" s="21"/>
      <c r="M64" s="21"/>
    </row>
    <row r="65" spans="1:13" s="22" customFormat="1" ht="24.9" customHeight="1">
      <c r="A65" s="166">
        <v>61</v>
      </c>
      <c r="B65" s="162" t="s">
        <v>102</v>
      </c>
      <c r="C65" s="197">
        <v>84181.721999999994</v>
      </c>
      <c r="D65" s="182">
        <v>10674.767</v>
      </c>
      <c r="E65" s="182">
        <v>15581.418230000001</v>
      </c>
      <c r="F65" s="187">
        <f t="shared" si="3"/>
        <v>18.509265265445627</v>
      </c>
      <c r="G65" s="187">
        <f t="shared" si="4"/>
        <v>145.96494921153783</v>
      </c>
      <c r="H65" s="188">
        <f t="shared" si="5"/>
        <v>4906.6512300000013</v>
      </c>
      <c r="I65" s="18"/>
      <c r="J65" s="19"/>
      <c r="K65" s="20"/>
      <c r="L65" s="21"/>
      <c r="M65" s="21"/>
    </row>
    <row r="66" spans="1:13" s="22" customFormat="1" ht="24.9" customHeight="1">
      <c r="A66" s="166">
        <v>62</v>
      </c>
      <c r="B66" s="162" t="s">
        <v>103</v>
      </c>
      <c r="C66" s="197">
        <v>28083.33</v>
      </c>
      <c r="D66" s="182">
        <v>4942.6400000000003</v>
      </c>
      <c r="E66" s="182">
        <v>5074.9644100000005</v>
      </c>
      <c r="F66" s="187">
        <f t="shared" si="3"/>
        <v>18.071092032177098</v>
      </c>
      <c r="G66" s="187">
        <f t="shared" si="4"/>
        <v>102.67720105045078</v>
      </c>
      <c r="H66" s="188">
        <f t="shared" si="5"/>
        <v>132.32441000000017</v>
      </c>
      <c r="I66" s="18"/>
      <c r="J66" s="19"/>
      <c r="K66" s="20"/>
      <c r="L66" s="21"/>
      <c r="M66" s="21"/>
    </row>
    <row r="67" spans="1:13" s="22" customFormat="1" ht="24.9" customHeight="1">
      <c r="A67" s="166">
        <v>63</v>
      </c>
      <c r="B67" s="162" t="s">
        <v>104</v>
      </c>
      <c r="C67" s="197">
        <v>7000</v>
      </c>
      <c r="D67" s="182">
        <v>1147.2</v>
      </c>
      <c r="E67" s="182">
        <v>1410.4021399999999</v>
      </c>
      <c r="F67" s="187">
        <f t="shared" si="3"/>
        <v>20.148602</v>
      </c>
      <c r="G67" s="187">
        <f t="shared" si="4"/>
        <v>122.94300383542537</v>
      </c>
      <c r="H67" s="188">
        <f t="shared" si="5"/>
        <v>263.20213999999987</v>
      </c>
      <c r="I67" s="18"/>
      <c r="J67" s="19"/>
      <c r="K67" s="20"/>
      <c r="L67" s="21"/>
      <c r="M67" s="21"/>
    </row>
    <row r="68" spans="1:13" s="22" customFormat="1" ht="24.9" customHeight="1">
      <c r="A68" s="166">
        <v>64</v>
      </c>
      <c r="B68" s="214" t="s">
        <v>106</v>
      </c>
      <c r="C68" s="197">
        <v>78170.376000000004</v>
      </c>
      <c r="D68" s="182">
        <v>12703.034</v>
      </c>
      <c r="E68" s="182">
        <v>11982.20184</v>
      </c>
      <c r="F68" s="187">
        <f t="shared" si="3"/>
        <v>15.328315473370626</v>
      </c>
      <c r="G68" s="217">
        <f t="shared" si="4"/>
        <v>94.325511842289018</v>
      </c>
      <c r="H68" s="188">
        <f t="shared" si="5"/>
        <v>-720.83215999999993</v>
      </c>
      <c r="I68" s="18"/>
      <c r="J68" s="19"/>
      <c r="K68" s="20"/>
      <c r="L68" s="21"/>
      <c r="M68" s="21"/>
    </row>
    <row r="69" spans="1:13" s="22" customFormat="1" ht="24.9" customHeight="1" thickBot="1">
      <c r="A69" s="198">
        <v>65</v>
      </c>
      <c r="B69" s="163" t="s">
        <v>105</v>
      </c>
      <c r="C69" s="199">
        <v>39970</v>
      </c>
      <c r="D69" s="186">
        <v>4071.4</v>
      </c>
      <c r="E69" s="186">
        <v>4215.8459699999994</v>
      </c>
      <c r="F69" s="187">
        <f t="shared" si="3"/>
        <v>10.547525569176882</v>
      </c>
      <c r="G69" s="187">
        <f t="shared" si="4"/>
        <v>103.54782065137297</v>
      </c>
      <c r="H69" s="188">
        <f t="shared" si="5"/>
        <v>144.44596999999931</v>
      </c>
      <c r="I69" s="18"/>
      <c r="J69" s="19"/>
      <c r="K69" s="20"/>
      <c r="L69" s="21"/>
      <c r="M69" s="21"/>
    </row>
    <row r="70" spans="1:13" s="28" customFormat="1" ht="30" customHeight="1" thickBot="1">
      <c r="A70" s="108"/>
      <c r="B70" s="200" t="s">
        <v>52</v>
      </c>
      <c r="C70" s="201">
        <f>SUM(C5:C69)</f>
        <v>12036455.823000006</v>
      </c>
      <c r="D70" s="202">
        <f>SUM(D5:D69)</f>
        <v>1736770.9407299997</v>
      </c>
      <c r="E70" s="202">
        <f>SUM(E5:E69)</f>
        <v>1936783.4598099997</v>
      </c>
      <c r="F70" s="203">
        <f t="shared" si="0"/>
        <v>16.09097801122714</v>
      </c>
      <c r="G70" s="203">
        <f t="shared" si="1"/>
        <v>111.51634417581462</v>
      </c>
      <c r="H70" s="204">
        <f t="shared" si="2"/>
        <v>200012.51908</v>
      </c>
      <c r="J70" s="29"/>
      <c r="K70" s="30"/>
      <c r="L70" s="29"/>
      <c r="M70" s="29"/>
    </row>
    <row r="71" spans="1:13" s="22" customFormat="1" ht="24" customHeight="1">
      <c r="A71" s="31"/>
      <c r="B71" s="31"/>
      <c r="C71" s="31"/>
      <c r="D71" s="32"/>
      <c r="E71" s="33"/>
      <c r="F71" s="33"/>
      <c r="G71" s="33"/>
      <c r="H71" s="33"/>
      <c r="K71" s="36"/>
    </row>
    <row r="72" spans="1:13" s="38" customFormat="1">
      <c r="B72" s="39"/>
      <c r="C72" s="39"/>
      <c r="E72" s="35"/>
      <c r="F72" s="35"/>
      <c r="G72" s="35"/>
      <c r="H72" s="35"/>
      <c r="K72" s="41"/>
    </row>
    <row r="73" spans="1:13" s="22" customFormat="1" ht="13.8">
      <c r="D73" s="21"/>
      <c r="E73" s="42"/>
      <c r="F73" s="42"/>
      <c r="G73" s="42"/>
      <c r="H73" s="42"/>
      <c r="K73" s="36"/>
    </row>
    <row r="74" spans="1:13" s="22" customFormat="1">
      <c r="E74" s="106"/>
      <c r="F74" s="35"/>
      <c r="G74" s="35"/>
      <c r="H74" s="35"/>
      <c r="K74" s="36"/>
    </row>
    <row r="75" spans="1:13" s="22" customFormat="1">
      <c r="E75" s="35"/>
      <c r="F75" s="35"/>
      <c r="G75" s="35"/>
      <c r="H75" s="35"/>
      <c r="K75" s="36"/>
    </row>
    <row r="76" spans="1:13" s="22" customFormat="1">
      <c r="E76" s="35"/>
      <c r="F76" s="35"/>
      <c r="G76" s="35"/>
      <c r="H76" s="35"/>
      <c r="K76" s="36"/>
    </row>
    <row r="77" spans="1:13" s="22" customFormat="1">
      <c r="E77" s="35"/>
      <c r="F77" s="35"/>
      <c r="G77" s="35"/>
      <c r="H77" s="35"/>
      <c r="K77" s="36"/>
    </row>
    <row r="78" spans="1:13" s="22" customFormat="1">
      <c r="E78" s="35"/>
      <c r="F78" s="35"/>
      <c r="G78" s="35"/>
      <c r="H78" s="35"/>
      <c r="K78" s="36"/>
    </row>
    <row r="79" spans="1:13" s="22" customFormat="1">
      <c r="E79" s="35"/>
      <c r="F79" s="35"/>
      <c r="G79" s="35"/>
      <c r="H79" s="35"/>
      <c r="K79" s="36"/>
    </row>
    <row r="80" spans="1:13" s="22" customFormat="1" ht="12" customHeight="1">
      <c r="E80" s="35"/>
      <c r="F80" s="35"/>
      <c r="G80" s="35"/>
      <c r="H80" s="35"/>
      <c r="K80" s="36"/>
    </row>
    <row r="81" spans="5:11" s="22" customFormat="1">
      <c r="E81" s="35"/>
      <c r="F81" s="35"/>
      <c r="G81" s="35"/>
      <c r="H81" s="35"/>
      <c r="K81" s="36"/>
    </row>
    <row r="82" spans="5:11" s="22" customFormat="1">
      <c r="E82" s="35"/>
      <c r="F82" s="35"/>
      <c r="G82" s="35"/>
      <c r="H82" s="35"/>
      <c r="K82" s="36"/>
    </row>
    <row r="83" spans="5:11" s="22" customFormat="1">
      <c r="E83" s="35"/>
      <c r="F83" s="35"/>
      <c r="G83" s="35"/>
      <c r="H83" s="35"/>
      <c r="K83" s="36"/>
    </row>
    <row r="84" spans="5:11" s="22" customFormat="1">
      <c r="E84" s="35"/>
      <c r="F84" s="35"/>
      <c r="G84" s="35"/>
      <c r="H84" s="35"/>
      <c r="K84" s="36"/>
    </row>
    <row r="85" spans="5:11" s="22" customFormat="1">
      <c r="E85" s="35"/>
      <c r="F85" s="35"/>
      <c r="G85" s="35"/>
      <c r="H85" s="35"/>
      <c r="K85" s="36"/>
    </row>
    <row r="86" spans="5:11" s="22" customFormat="1">
      <c r="E86" s="35"/>
      <c r="F86" s="35"/>
      <c r="G86" s="35"/>
      <c r="H86" s="35"/>
      <c r="K86" s="36"/>
    </row>
    <row r="87" spans="5:11" s="22" customFormat="1">
      <c r="E87" s="35"/>
      <c r="F87" s="35"/>
      <c r="G87" s="35"/>
      <c r="H87" s="35"/>
      <c r="K87" s="36"/>
    </row>
    <row r="88" spans="5:11" s="22" customFormat="1">
      <c r="E88" s="35"/>
      <c r="F88" s="35"/>
      <c r="G88" s="35"/>
      <c r="H88" s="35"/>
      <c r="K88" s="36"/>
    </row>
    <row r="89" spans="5:11" s="22" customFormat="1">
      <c r="E89" s="35"/>
      <c r="F89" s="35"/>
      <c r="G89" s="35"/>
      <c r="H89" s="35"/>
      <c r="K89" s="36"/>
    </row>
    <row r="90" spans="5:11" s="22" customFormat="1">
      <c r="E90" s="35"/>
      <c r="F90" s="35"/>
      <c r="G90" s="35"/>
      <c r="H90" s="35"/>
      <c r="K90" s="36"/>
    </row>
    <row r="91" spans="5:11" s="22" customFormat="1">
      <c r="E91" s="35"/>
      <c r="F91" s="35"/>
      <c r="G91" s="35"/>
      <c r="H91" s="35"/>
      <c r="K91" s="36"/>
    </row>
    <row r="92" spans="5:11" s="22" customFormat="1">
      <c r="E92" s="35"/>
      <c r="F92" s="35"/>
      <c r="G92" s="35"/>
      <c r="H92" s="35"/>
      <c r="K92" s="36"/>
    </row>
    <row r="93" spans="5:11" s="22" customFormat="1">
      <c r="E93" s="35"/>
      <c r="F93" s="35"/>
      <c r="G93" s="35"/>
      <c r="H93" s="35"/>
      <c r="K93" s="36"/>
    </row>
    <row r="94" spans="5:11" s="22" customFormat="1">
      <c r="E94" s="35"/>
      <c r="F94" s="35"/>
      <c r="G94" s="35"/>
      <c r="H94" s="35"/>
      <c r="K94" s="36"/>
    </row>
    <row r="95" spans="5:11" s="22" customFormat="1">
      <c r="E95" s="35"/>
      <c r="F95" s="35"/>
      <c r="G95" s="35"/>
      <c r="H95" s="35"/>
      <c r="K95" s="36"/>
    </row>
    <row r="96" spans="5:11" s="22" customFormat="1">
      <c r="E96" s="35"/>
      <c r="F96" s="35"/>
      <c r="G96" s="35"/>
      <c r="H96" s="35"/>
      <c r="K96" s="36"/>
    </row>
    <row r="97" spans="5:11" s="22" customFormat="1">
      <c r="E97" s="35"/>
      <c r="F97" s="35"/>
      <c r="G97" s="35"/>
      <c r="H97" s="35"/>
      <c r="K97" s="36"/>
    </row>
    <row r="98" spans="5:11" s="22" customFormat="1">
      <c r="E98" s="35"/>
      <c r="F98" s="35"/>
      <c r="G98" s="35"/>
      <c r="H98" s="35"/>
      <c r="K98" s="36"/>
    </row>
    <row r="99" spans="5:11" s="22" customFormat="1">
      <c r="E99" s="35"/>
      <c r="F99" s="35"/>
      <c r="G99" s="35"/>
      <c r="H99" s="35"/>
      <c r="K99" s="36"/>
    </row>
    <row r="100" spans="5:11" s="22" customFormat="1">
      <c r="E100" s="35"/>
      <c r="F100" s="35"/>
      <c r="G100" s="35"/>
      <c r="H100" s="35"/>
      <c r="K100" s="36"/>
    </row>
    <row r="101" spans="5:11" s="22" customFormat="1">
      <c r="E101" s="35"/>
      <c r="F101" s="35"/>
      <c r="G101" s="35"/>
      <c r="H101" s="35"/>
      <c r="K101" s="36"/>
    </row>
    <row r="102" spans="5:11" s="22" customFormat="1">
      <c r="E102" s="35"/>
      <c r="F102" s="35"/>
      <c r="G102" s="35"/>
      <c r="H102" s="35"/>
      <c r="K102" s="36"/>
    </row>
    <row r="103" spans="5:11" s="22" customFormat="1">
      <c r="E103" s="35"/>
      <c r="F103" s="35"/>
      <c r="G103" s="35"/>
      <c r="H103" s="35"/>
      <c r="K103" s="36"/>
    </row>
    <row r="104" spans="5:11" s="22" customFormat="1">
      <c r="E104" s="35"/>
      <c r="F104" s="35"/>
      <c r="G104" s="35"/>
      <c r="H104" s="35"/>
      <c r="K104" s="36"/>
    </row>
    <row r="105" spans="5:11" s="22" customFormat="1">
      <c r="E105" s="35"/>
      <c r="F105" s="35"/>
      <c r="G105" s="35"/>
      <c r="H105" s="35"/>
      <c r="K105" s="36"/>
    </row>
    <row r="106" spans="5:11" s="22" customFormat="1">
      <c r="E106" s="35"/>
      <c r="F106" s="35"/>
      <c r="G106" s="35"/>
      <c r="H106" s="35"/>
      <c r="K106" s="36"/>
    </row>
    <row r="107" spans="5:11" s="22" customFormat="1">
      <c r="E107" s="35"/>
      <c r="F107" s="35"/>
      <c r="G107" s="35"/>
      <c r="H107" s="35"/>
      <c r="K107" s="36"/>
    </row>
    <row r="108" spans="5:11" s="22" customFormat="1">
      <c r="E108" s="35"/>
      <c r="F108" s="35"/>
      <c r="G108" s="35"/>
      <c r="H108" s="35"/>
      <c r="K108" s="36"/>
    </row>
    <row r="109" spans="5:11" s="22" customFormat="1">
      <c r="E109" s="35"/>
      <c r="F109" s="35"/>
      <c r="G109" s="35"/>
      <c r="H109" s="35"/>
      <c r="K109" s="36"/>
    </row>
    <row r="110" spans="5:11" s="22" customFormat="1">
      <c r="E110" s="35"/>
      <c r="F110" s="35"/>
      <c r="G110" s="35"/>
      <c r="H110" s="35"/>
      <c r="K110" s="36"/>
    </row>
    <row r="111" spans="5:11" s="22" customFormat="1">
      <c r="E111" s="35"/>
      <c r="F111" s="35"/>
      <c r="G111" s="35"/>
      <c r="H111" s="35"/>
      <c r="K111" s="36"/>
    </row>
    <row r="112" spans="5:11" s="22" customFormat="1">
      <c r="E112" s="35"/>
      <c r="F112" s="35"/>
      <c r="G112" s="35"/>
      <c r="H112" s="35"/>
      <c r="K112" s="36"/>
    </row>
    <row r="113" spans="5:11" s="22" customFormat="1">
      <c r="E113" s="35"/>
      <c r="F113" s="35"/>
      <c r="G113" s="35"/>
      <c r="H113" s="35"/>
      <c r="K113" s="36"/>
    </row>
  </sheetData>
  <mergeCells count="8">
    <mergeCell ref="A1:H1"/>
    <mergeCell ref="E3:E4"/>
    <mergeCell ref="D3:D4"/>
    <mergeCell ref="A3:A4"/>
    <mergeCell ref="B3:B4"/>
    <mergeCell ref="G3:H3"/>
    <mergeCell ref="C3:C4"/>
    <mergeCell ref="F3:F4"/>
  </mergeCells>
  <phoneticPr fontId="45" type="noConversion"/>
  <printOptions horizontalCentered="1"/>
  <pageMargins left="0.31496062992125984" right="0.19685039370078741" top="0.26" bottom="0.19685039370078741" header="0" footer="0"/>
  <pageSetup paperSize="9" scale="47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6">
    <pageSetUpPr fitToPage="1"/>
  </sheetPr>
  <dimension ref="A1:S114"/>
  <sheetViews>
    <sheetView showZeros="0" zoomScale="75" zoomScaleSheetLayoutView="100" workbookViewId="0">
      <pane ySplit="5" topLeftCell="A6" activePane="bottomLeft" state="frozen"/>
      <selection pane="bottomLeft" activeCell="E65" sqref="E65"/>
    </sheetView>
  </sheetViews>
  <sheetFormatPr defaultColWidth="9.109375" defaultRowHeight="13.2"/>
  <cols>
    <col min="1" max="1" width="6.33203125" style="43" customWidth="1"/>
    <col min="2" max="2" width="32.6640625" style="43" customWidth="1"/>
    <col min="3" max="3" width="15.109375" style="43" customWidth="1"/>
    <col min="4" max="4" width="14.33203125" style="43" customWidth="1"/>
    <col min="5" max="5" width="15.6640625" style="43" customWidth="1"/>
    <col min="6" max="6" width="12.109375" style="43" customWidth="1"/>
    <col min="7" max="7" width="8.44140625" style="43" customWidth="1"/>
    <col min="8" max="8" width="14.33203125" style="43" customWidth="1"/>
    <col min="9" max="9" width="15.109375" style="43" customWidth="1"/>
    <col min="10" max="10" width="14.33203125" style="43" customWidth="1"/>
    <col min="11" max="11" width="15.5546875" style="44" customWidth="1"/>
    <col min="12" max="12" width="12.109375" style="44" customWidth="1"/>
    <col min="13" max="13" width="9.88671875" style="44" customWidth="1"/>
    <col min="14" max="14" width="14.109375" style="44" customWidth="1"/>
    <col min="15" max="15" width="12.5546875" style="43" customWidth="1"/>
    <col min="16" max="16" width="20.88671875" style="43" customWidth="1"/>
    <col min="17" max="17" width="12.33203125" style="45" customWidth="1"/>
    <col min="18" max="18" width="15.33203125" style="43" customWidth="1"/>
    <col min="19" max="20" width="12.33203125" style="43" customWidth="1"/>
    <col min="21" max="16384" width="9.109375" style="43"/>
  </cols>
  <sheetData>
    <row r="1" spans="1:19" s="8" customFormat="1" ht="21.75" customHeight="1">
      <c r="A1" s="240" t="s">
        <v>123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Q1" s="9"/>
    </row>
    <row r="2" spans="1:19" s="11" customFormat="1" ht="21.75" customHeight="1" thickBot="1">
      <c r="A2" s="74"/>
      <c r="B2" s="74"/>
      <c r="C2" s="74"/>
      <c r="D2" s="74"/>
      <c r="E2" s="74"/>
      <c r="F2" s="74"/>
      <c r="G2" s="74"/>
      <c r="H2" s="74"/>
      <c r="I2" s="74"/>
      <c r="J2" s="74"/>
      <c r="K2" s="76"/>
      <c r="L2" s="76"/>
      <c r="M2" s="76"/>
      <c r="N2" s="73" t="s">
        <v>57</v>
      </c>
      <c r="Q2" s="10"/>
    </row>
    <row r="3" spans="1:19" s="12" customFormat="1" ht="24" customHeight="1" thickBot="1">
      <c r="A3" s="243" t="s">
        <v>3</v>
      </c>
      <c r="B3" s="243" t="s">
        <v>14</v>
      </c>
      <c r="C3" s="248" t="s">
        <v>36</v>
      </c>
      <c r="D3" s="249"/>
      <c r="E3" s="249"/>
      <c r="F3" s="249"/>
      <c r="G3" s="249"/>
      <c r="H3" s="250"/>
      <c r="I3" s="248" t="s">
        <v>35</v>
      </c>
      <c r="J3" s="249"/>
      <c r="K3" s="249"/>
      <c r="L3" s="249"/>
      <c r="M3" s="249"/>
      <c r="N3" s="250"/>
      <c r="P3" s="13"/>
      <c r="Q3" s="13"/>
      <c r="R3" s="14"/>
    </row>
    <row r="4" spans="1:19" s="12" customFormat="1" ht="52.5" customHeight="1">
      <c r="A4" s="251"/>
      <c r="B4" s="251"/>
      <c r="C4" s="252" t="s">
        <v>107</v>
      </c>
      <c r="D4" s="241" t="s">
        <v>120</v>
      </c>
      <c r="E4" s="241" t="s">
        <v>111</v>
      </c>
      <c r="F4" s="241" t="s">
        <v>112</v>
      </c>
      <c r="G4" s="254" t="s">
        <v>110</v>
      </c>
      <c r="H4" s="245"/>
      <c r="I4" s="252" t="s">
        <v>107</v>
      </c>
      <c r="J4" s="241" t="s">
        <v>120</v>
      </c>
      <c r="K4" s="241" t="s">
        <v>111</v>
      </c>
      <c r="L4" s="241" t="s">
        <v>112</v>
      </c>
      <c r="M4" s="254" t="s">
        <v>119</v>
      </c>
      <c r="N4" s="245"/>
      <c r="Q4" s="15"/>
    </row>
    <row r="5" spans="1:19" s="12" customFormat="1" ht="49.5" customHeight="1" thickBot="1">
      <c r="A5" s="244"/>
      <c r="B5" s="244"/>
      <c r="C5" s="253"/>
      <c r="D5" s="242"/>
      <c r="E5" s="242"/>
      <c r="F5" s="242"/>
      <c r="G5" s="110" t="s">
        <v>55</v>
      </c>
      <c r="H5" s="112" t="s">
        <v>54</v>
      </c>
      <c r="I5" s="253"/>
      <c r="J5" s="242"/>
      <c r="K5" s="242"/>
      <c r="L5" s="242"/>
      <c r="M5" s="110" t="s">
        <v>55</v>
      </c>
      <c r="N5" s="112" t="s">
        <v>54</v>
      </c>
      <c r="P5" s="16"/>
      <c r="Q5" s="16"/>
      <c r="R5" s="17"/>
      <c r="S5" s="17"/>
    </row>
    <row r="6" spans="1:19" s="22" customFormat="1" ht="25.2" customHeight="1" thickBot="1">
      <c r="A6" s="121">
        <v>1</v>
      </c>
      <c r="B6" s="122" t="s">
        <v>4</v>
      </c>
      <c r="C6" s="123"/>
      <c r="D6" s="124"/>
      <c r="E6" s="124"/>
      <c r="F6" s="125"/>
      <c r="G6" s="125"/>
      <c r="H6" s="126">
        <f>E6-D6</f>
        <v>0</v>
      </c>
      <c r="I6" s="123"/>
      <c r="J6" s="124"/>
      <c r="K6" s="127"/>
      <c r="L6" s="128"/>
      <c r="M6" s="128"/>
      <c r="N6" s="129"/>
      <c r="O6" s="18"/>
      <c r="P6" s="19"/>
      <c r="Q6" s="20"/>
      <c r="R6" s="21"/>
      <c r="S6" s="21"/>
    </row>
    <row r="7" spans="1:19" s="22" customFormat="1" ht="24.9" customHeight="1">
      <c r="A7" s="130">
        <v>2</v>
      </c>
      <c r="B7" s="131" t="s">
        <v>5</v>
      </c>
      <c r="C7" s="132"/>
      <c r="D7" s="133"/>
      <c r="E7" s="133"/>
      <c r="F7" s="134"/>
      <c r="G7" s="134"/>
      <c r="H7" s="135"/>
      <c r="I7" s="132">
        <v>336087.5</v>
      </c>
      <c r="J7" s="133">
        <f>28007.3*2</f>
        <v>56014.6</v>
      </c>
      <c r="K7" s="136">
        <v>56014.6</v>
      </c>
      <c r="L7" s="134">
        <f>K7/I7*100</f>
        <v>16.666671625692715</v>
      </c>
      <c r="M7" s="134">
        <f>K7/J7*100</f>
        <v>100</v>
      </c>
      <c r="N7" s="135">
        <f>K7-J7</f>
        <v>0</v>
      </c>
      <c r="O7" s="18"/>
      <c r="P7" s="19"/>
      <c r="Q7" s="20"/>
      <c r="R7" s="21"/>
      <c r="S7" s="21"/>
    </row>
    <row r="8" spans="1:19" s="27" customFormat="1" ht="24.9" customHeight="1">
      <c r="A8" s="137">
        <v>3</v>
      </c>
      <c r="B8" s="138" t="s">
        <v>6</v>
      </c>
      <c r="C8" s="139">
        <v>1915.2</v>
      </c>
      <c r="D8" s="140">
        <f>159.6*2</f>
        <v>319.2</v>
      </c>
      <c r="E8" s="140">
        <v>319.2</v>
      </c>
      <c r="F8" s="141">
        <f>E8/C8*100</f>
        <v>16.666666666666664</v>
      </c>
      <c r="G8" s="141">
        <f>E8/D8*100</f>
        <v>100</v>
      </c>
      <c r="H8" s="142">
        <f>E8-D8</f>
        <v>0</v>
      </c>
      <c r="I8" s="139"/>
      <c r="J8" s="140"/>
      <c r="K8" s="143"/>
      <c r="L8" s="144"/>
      <c r="M8" s="144"/>
      <c r="N8" s="145"/>
      <c r="O8" s="23"/>
      <c r="P8" s="24"/>
      <c r="Q8" s="25"/>
      <c r="R8" s="26"/>
      <c r="S8" s="26"/>
    </row>
    <row r="9" spans="1:19" s="22" customFormat="1" ht="24.9" customHeight="1">
      <c r="A9" s="137">
        <v>4</v>
      </c>
      <c r="B9" s="138" t="s">
        <v>7</v>
      </c>
      <c r="C9" s="139">
        <v>28123.3</v>
      </c>
      <c r="D9" s="140">
        <f>2343.6*2</f>
        <v>4687.2</v>
      </c>
      <c r="E9" s="140">
        <v>4687.2</v>
      </c>
      <c r="F9" s="141">
        <f>E9/C9*100</f>
        <v>16.666607403825299</v>
      </c>
      <c r="G9" s="141">
        <f>E9/D9*100</f>
        <v>100</v>
      </c>
      <c r="H9" s="142">
        <f>E9-D9</f>
        <v>0</v>
      </c>
      <c r="I9" s="139"/>
      <c r="J9" s="140"/>
      <c r="K9" s="143"/>
      <c r="L9" s="144"/>
      <c r="M9" s="144"/>
      <c r="N9" s="145"/>
      <c r="O9" s="18"/>
      <c r="P9" s="19"/>
      <c r="Q9" s="20"/>
      <c r="R9" s="21"/>
      <c r="S9" s="21"/>
    </row>
    <row r="10" spans="1:19" s="22" customFormat="1" ht="24.9" customHeight="1">
      <c r="A10" s="137">
        <v>5</v>
      </c>
      <c r="B10" s="146" t="s">
        <v>8</v>
      </c>
      <c r="C10" s="139"/>
      <c r="D10" s="140"/>
      <c r="E10" s="140"/>
      <c r="F10" s="141"/>
      <c r="G10" s="141"/>
      <c r="H10" s="142"/>
      <c r="I10" s="139">
        <v>2497.5</v>
      </c>
      <c r="J10" s="140">
        <f>208.1*2</f>
        <v>416.2</v>
      </c>
      <c r="K10" s="140">
        <v>416.2</v>
      </c>
      <c r="L10" s="144">
        <f>K10/I10*100</f>
        <v>16.664664664664663</v>
      </c>
      <c r="M10" s="144">
        <f>K10/J10*100</f>
        <v>100</v>
      </c>
      <c r="N10" s="145">
        <f>K10-J10</f>
        <v>0</v>
      </c>
      <c r="O10" s="18"/>
      <c r="P10" s="19"/>
      <c r="Q10" s="20"/>
      <c r="R10" s="21"/>
      <c r="S10" s="21"/>
    </row>
    <row r="11" spans="1:19" s="22" customFormat="1" ht="24.9" customHeight="1">
      <c r="A11" s="137">
        <v>6</v>
      </c>
      <c r="B11" s="146" t="s">
        <v>9</v>
      </c>
      <c r="C11" s="139">
        <v>9970.2000000000007</v>
      </c>
      <c r="D11" s="140">
        <f>830.8*2</f>
        <v>1661.6</v>
      </c>
      <c r="E11" s="140">
        <v>1661.6</v>
      </c>
      <c r="F11" s="141">
        <f>E11/C11*100</f>
        <v>16.665663677759721</v>
      </c>
      <c r="G11" s="141">
        <f>E11/D11*100</f>
        <v>100</v>
      </c>
      <c r="H11" s="142">
        <f>E11-D11</f>
        <v>0</v>
      </c>
      <c r="I11" s="139"/>
      <c r="J11" s="140"/>
      <c r="K11" s="143"/>
      <c r="L11" s="144"/>
      <c r="M11" s="144"/>
      <c r="N11" s="145"/>
      <c r="O11" s="18"/>
      <c r="P11" s="19"/>
      <c r="Q11" s="20"/>
      <c r="R11" s="21"/>
      <c r="S11" s="21"/>
    </row>
    <row r="12" spans="1:19" s="22" customFormat="1" ht="24.9" customHeight="1">
      <c r="A12" s="137">
        <v>7</v>
      </c>
      <c r="B12" s="138" t="s">
        <v>10</v>
      </c>
      <c r="C12" s="139"/>
      <c r="D12" s="140"/>
      <c r="E12" s="140"/>
      <c r="F12" s="141"/>
      <c r="G12" s="141"/>
      <c r="H12" s="142"/>
      <c r="I12" s="139"/>
      <c r="J12" s="140"/>
      <c r="K12" s="143"/>
      <c r="L12" s="144"/>
      <c r="M12" s="144"/>
      <c r="N12" s="145"/>
      <c r="O12" s="18"/>
      <c r="P12" s="19"/>
      <c r="Q12" s="20"/>
      <c r="R12" s="21"/>
      <c r="S12" s="21"/>
    </row>
    <row r="13" spans="1:19" s="22" customFormat="1" ht="24.9" customHeight="1">
      <c r="A13" s="137">
        <v>8</v>
      </c>
      <c r="B13" s="138" t="s">
        <v>11</v>
      </c>
      <c r="C13" s="139"/>
      <c r="D13" s="140"/>
      <c r="E13" s="140"/>
      <c r="F13" s="141"/>
      <c r="G13" s="141"/>
      <c r="H13" s="142"/>
      <c r="I13" s="139">
        <v>617.1</v>
      </c>
      <c r="J13" s="140">
        <f>51.4*2</f>
        <v>102.8</v>
      </c>
      <c r="K13" s="140">
        <v>102.8</v>
      </c>
      <c r="L13" s="144">
        <f>K13/I13*100</f>
        <v>16.658564252147141</v>
      </c>
      <c r="M13" s="144">
        <f>K13/J13*100</f>
        <v>100</v>
      </c>
      <c r="N13" s="145">
        <f>K13-J13</f>
        <v>0</v>
      </c>
      <c r="O13" s="18"/>
      <c r="P13" s="19"/>
      <c r="Q13" s="20"/>
      <c r="R13" s="21"/>
      <c r="S13" s="21"/>
    </row>
    <row r="14" spans="1:19" s="22" customFormat="1" ht="24.9" customHeight="1">
      <c r="A14" s="137">
        <v>9</v>
      </c>
      <c r="B14" s="146" t="s">
        <v>12</v>
      </c>
      <c r="C14" s="139"/>
      <c r="D14" s="140"/>
      <c r="E14" s="140"/>
      <c r="F14" s="141"/>
      <c r="G14" s="141"/>
      <c r="H14" s="142"/>
      <c r="I14" s="139"/>
      <c r="J14" s="140"/>
      <c r="K14" s="143"/>
      <c r="L14" s="144"/>
      <c r="M14" s="144"/>
      <c r="N14" s="145"/>
      <c r="O14" s="18"/>
      <c r="P14" s="19"/>
      <c r="Q14" s="20"/>
      <c r="R14" s="21"/>
      <c r="S14" s="21"/>
    </row>
    <row r="15" spans="1:19" s="22" customFormat="1" ht="24.9" customHeight="1" thickBot="1">
      <c r="A15" s="147">
        <v>10</v>
      </c>
      <c r="B15" s="148" t="s">
        <v>13</v>
      </c>
      <c r="C15" s="149">
        <v>7278.9</v>
      </c>
      <c r="D15" s="150">
        <f>606.6*2</f>
        <v>1213.2</v>
      </c>
      <c r="E15" s="150">
        <v>1213.2</v>
      </c>
      <c r="F15" s="128">
        <f t="shared" ref="F15:F32" si="0">E15/C15*100</f>
        <v>16.667353583645884</v>
      </c>
      <c r="G15" s="128">
        <f t="shared" ref="G15:G32" si="1">E15/D15*100</f>
        <v>100</v>
      </c>
      <c r="H15" s="129">
        <f t="shared" ref="H15:H32" si="2">E15-D15</f>
        <v>0</v>
      </c>
      <c r="I15" s="149"/>
      <c r="J15" s="150"/>
      <c r="K15" s="127"/>
      <c r="L15" s="151"/>
      <c r="M15" s="151"/>
      <c r="N15" s="152"/>
      <c r="O15" s="18"/>
      <c r="P15" s="19"/>
      <c r="Q15" s="20"/>
      <c r="R15" s="21"/>
      <c r="S15" s="21"/>
    </row>
    <row r="16" spans="1:19" s="22" customFormat="1" ht="24.9" customHeight="1">
      <c r="A16" s="130">
        <v>11</v>
      </c>
      <c r="B16" s="131" t="s">
        <v>67</v>
      </c>
      <c r="C16" s="132">
        <v>4745.6000000000004</v>
      </c>
      <c r="D16" s="133">
        <f>395.5*2</f>
        <v>791</v>
      </c>
      <c r="E16" s="133">
        <v>791</v>
      </c>
      <c r="F16" s="134">
        <f t="shared" si="0"/>
        <v>16.668071476736344</v>
      </c>
      <c r="G16" s="134">
        <f t="shared" si="1"/>
        <v>100</v>
      </c>
      <c r="H16" s="135">
        <f t="shared" si="2"/>
        <v>0</v>
      </c>
      <c r="I16" s="132"/>
      <c r="J16" s="133"/>
      <c r="K16" s="136"/>
      <c r="L16" s="134"/>
      <c r="M16" s="134"/>
      <c r="N16" s="135"/>
      <c r="O16" s="18"/>
      <c r="P16" s="19"/>
      <c r="Q16" s="20"/>
      <c r="R16" s="21"/>
      <c r="S16" s="21"/>
    </row>
    <row r="17" spans="1:19" s="22" customFormat="1" ht="24.9" customHeight="1">
      <c r="A17" s="137">
        <v>12</v>
      </c>
      <c r="B17" s="138" t="s">
        <v>68</v>
      </c>
      <c r="C17" s="139">
        <v>23070.7</v>
      </c>
      <c r="D17" s="140">
        <f>1922.5*2</f>
        <v>3845</v>
      </c>
      <c r="E17" s="140">
        <v>3845</v>
      </c>
      <c r="F17" s="141">
        <f t="shared" si="0"/>
        <v>16.666160974742855</v>
      </c>
      <c r="G17" s="141">
        <f t="shared" si="1"/>
        <v>100</v>
      </c>
      <c r="H17" s="142">
        <f t="shared" si="2"/>
        <v>0</v>
      </c>
      <c r="I17" s="139"/>
      <c r="J17" s="140"/>
      <c r="K17" s="143"/>
      <c r="L17" s="144"/>
      <c r="M17" s="144"/>
      <c r="N17" s="145"/>
      <c r="O17" s="18"/>
      <c r="P17" s="19"/>
      <c r="Q17" s="20"/>
      <c r="R17" s="21"/>
      <c r="S17" s="21"/>
    </row>
    <row r="18" spans="1:19" s="22" customFormat="1" ht="24.9" customHeight="1">
      <c r="A18" s="137">
        <v>13</v>
      </c>
      <c r="B18" s="146" t="s">
        <v>69</v>
      </c>
      <c r="C18" s="139">
        <v>5441.4</v>
      </c>
      <c r="D18" s="140">
        <f>453.4*2</f>
        <v>906.8</v>
      </c>
      <c r="E18" s="140">
        <v>906.8</v>
      </c>
      <c r="F18" s="141">
        <f t="shared" si="0"/>
        <v>16.664828904326093</v>
      </c>
      <c r="G18" s="141">
        <f t="shared" si="1"/>
        <v>100</v>
      </c>
      <c r="H18" s="142">
        <f t="shared" si="2"/>
        <v>0</v>
      </c>
      <c r="I18" s="139"/>
      <c r="J18" s="140"/>
      <c r="K18" s="143"/>
      <c r="L18" s="144"/>
      <c r="M18" s="144"/>
      <c r="N18" s="145"/>
      <c r="O18" s="18"/>
      <c r="P18" s="19"/>
      <c r="Q18" s="20"/>
      <c r="R18" s="21"/>
      <c r="S18" s="21"/>
    </row>
    <row r="19" spans="1:19" s="22" customFormat="1" ht="24.9" customHeight="1">
      <c r="A19" s="137">
        <v>14</v>
      </c>
      <c r="B19" s="146" t="s">
        <v>70</v>
      </c>
      <c r="C19" s="139">
        <v>58885.9</v>
      </c>
      <c r="D19" s="140">
        <f>4907.1*2</f>
        <v>9814.2000000000007</v>
      </c>
      <c r="E19" s="140">
        <v>9814.2000000000007</v>
      </c>
      <c r="F19" s="141">
        <f t="shared" si="0"/>
        <v>16.666468543403433</v>
      </c>
      <c r="G19" s="141">
        <f t="shared" si="1"/>
        <v>100</v>
      </c>
      <c r="H19" s="142">
        <f t="shared" si="2"/>
        <v>0</v>
      </c>
      <c r="I19" s="139"/>
      <c r="J19" s="140"/>
      <c r="K19" s="143"/>
      <c r="L19" s="144"/>
      <c r="M19" s="144"/>
      <c r="N19" s="145"/>
      <c r="O19" s="18"/>
      <c r="P19" s="19"/>
      <c r="Q19" s="20"/>
      <c r="R19" s="21"/>
      <c r="S19" s="21"/>
    </row>
    <row r="20" spans="1:19" s="22" customFormat="1" ht="24.9" customHeight="1">
      <c r="A20" s="137">
        <v>15</v>
      </c>
      <c r="B20" s="138" t="s">
        <v>71</v>
      </c>
      <c r="C20" s="139">
        <v>15877.6</v>
      </c>
      <c r="D20" s="140">
        <f>1323.1*2</f>
        <v>2646.2</v>
      </c>
      <c r="E20" s="140">
        <v>2646.2</v>
      </c>
      <c r="F20" s="141">
        <f t="shared" si="0"/>
        <v>16.666246787927644</v>
      </c>
      <c r="G20" s="141">
        <f t="shared" si="1"/>
        <v>100</v>
      </c>
      <c r="H20" s="142">
        <f t="shared" si="2"/>
        <v>0</v>
      </c>
      <c r="I20" s="139"/>
      <c r="J20" s="140"/>
      <c r="K20" s="143"/>
      <c r="L20" s="144"/>
      <c r="M20" s="144"/>
      <c r="N20" s="145"/>
      <c r="O20" s="18"/>
      <c r="P20" s="19"/>
      <c r="Q20" s="20"/>
      <c r="R20" s="21"/>
      <c r="S20" s="21"/>
    </row>
    <row r="21" spans="1:19" s="22" customFormat="1" ht="24.9" customHeight="1">
      <c r="A21" s="137">
        <v>16</v>
      </c>
      <c r="B21" s="138" t="s">
        <v>72</v>
      </c>
      <c r="C21" s="139">
        <v>54221</v>
      </c>
      <c r="D21" s="140">
        <f>4518.4*2</f>
        <v>9036.7999999999993</v>
      </c>
      <c r="E21" s="140">
        <v>9036.7999999999993</v>
      </c>
      <c r="F21" s="141">
        <f t="shared" si="0"/>
        <v>16.666605189871081</v>
      </c>
      <c r="G21" s="141">
        <f t="shared" si="1"/>
        <v>100</v>
      </c>
      <c r="H21" s="142">
        <f t="shared" si="2"/>
        <v>0</v>
      </c>
      <c r="I21" s="139"/>
      <c r="J21" s="140"/>
      <c r="K21" s="143"/>
      <c r="L21" s="144"/>
      <c r="M21" s="144"/>
      <c r="N21" s="145"/>
      <c r="O21" s="18"/>
      <c r="P21" s="19"/>
      <c r="Q21" s="20"/>
      <c r="R21" s="21"/>
      <c r="S21" s="21"/>
    </row>
    <row r="22" spans="1:19" s="22" customFormat="1" ht="24.9" customHeight="1">
      <c r="A22" s="137">
        <v>17</v>
      </c>
      <c r="B22" s="146" t="s">
        <v>73</v>
      </c>
      <c r="C22" s="139">
        <v>14805.4</v>
      </c>
      <c r="D22" s="140">
        <f>1233.8*2</f>
        <v>2467.6</v>
      </c>
      <c r="E22" s="140">
        <v>2467.6</v>
      </c>
      <c r="F22" s="141">
        <f t="shared" si="0"/>
        <v>16.666891809745092</v>
      </c>
      <c r="G22" s="141">
        <f t="shared" si="1"/>
        <v>100</v>
      </c>
      <c r="H22" s="142">
        <f t="shared" si="2"/>
        <v>0</v>
      </c>
      <c r="I22" s="139"/>
      <c r="J22" s="140"/>
      <c r="K22" s="143"/>
      <c r="L22" s="144"/>
      <c r="M22" s="144"/>
      <c r="N22" s="145"/>
      <c r="O22" s="18"/>
      <c r="P22" s="19"/>
      <c r="Q22" s="20"/>
      <c r="R22" s="21"/>
      <c r="S22" s="21"/>
    </row>
    <row r="23" spans="1:19" s="22" customFormat="1" ht="24.9" customHeight="1">
      <c r="A23" s="137">
        <v>18</v>
      </c>
      <c r="B23" s="138" t="s">
        <v>74</v>
      </c>
      <c r="C23" s="139">
        <v>8424.6</v>
      </c>
      <c r="D23" s="140">
        <f>702*2</f>
        <v>1404</v>
      </c>
      <c r="E23" s="140">
        <v>1404</v>
      </c>
      <c r="F23" s="141">
        <f>E23/C23*100</f>
        <v>16.665479666690405</v>
      </c>
      <c r="G23" s="141">
        <f>E23/D23*100</f>
        <v>100</v>
      </c>
      <c r="H23" s="142">
        <f>E23-D23</f>
        <v>0</v>
      </c>
      <c r="I23" s="139"/>
      <c r="J23" s="140"/>
      <c r="K23" s="143"/>
      <c r="L23" s="144"/>
      <c r="M23" s="144"/>
      <c r="N23" s="145"/>
      <c r="O23" s="18"/>
      <c r="P23" s="19"/>
      <c r="Q23" s="20"/>
      <c r="R23" s="21"/>
      <c r="S23" s="21"/>
    </row>
    <row r="24" spans="1:19" s="22" customFormat="1" ht="24.9" customHeight="1">
      <c r="A24" s="137">
        <v>19</v>
      </c>
      <c r="B24" s="146" t="s">
        <v>75</v>
      </c>
      <c r="C24" s="139">
        <v>22451</v>
      </c>
      <c r="D24" s="140">
        <f>1870.9*2</f>
        <v>3741.8</v>
      </c>
      <c r="E24" s="140">
        <v>3741.8</v>
      </c>
      <c r="F24" s="141">
        <f t="shared" si="0"/>
        <v>16.666518195180615</v>
      </c>
      <c r="G24" s="141">
        <f t="shared" si="1"/>
        <v>100</v>
      </c>
      <c r="H24" s="142">
        <f t="shared" si="2"/>
        <v>0</v>
      </c>
      <c r="I24" s="139"/>
      <c r="J24" s="140"/>
      <c r="K24" s="143"/>
      <c r="L24" s="144"/>
      <c r="M24" s="144"/>
      <c r="N24" s="145"/>
      <c r="O24" s="18"/>
      <c r="P24" s="19"/>
      <c r="Q24" s="20"/>
      <c r="R24" s="21"/>
      <c r="S24" s="21"/>
    </row>
    <row r="25" spans="1:19" s="22" customFormat="1" ht="24.9" customHeight="1">
      <c r="A25" s="137">
        <v>20</v>
      </c>
      <c r="B25" s="146" t="s">
        <v>76</v>
      </c>
      <c r="C25" s="139">
        <v>12333.1</v>
      </c>
      <c r="D25" s="140">
        <f>1027.7*2</f>
        <v>2055.4</v>
      </c>
      <c r="E25" s="140">
        <v>2055.4</v>
      </c>
      <c r="F25" s="141">
        <f t="shared" si="0"/>
        <v>16.665720702824107</v>
      </c>
      <c r="G25" s="141">
        <f t="shared" si="1"/>
        <v>100</v>
      </c>
      <c r="H25" s="142">
        <f t="shared" si="2"/>
        <v>0</v>
      </c>
      <c r="I25" s="139"/>
      <c r="J25" s="140"/>
      <c r="K25" s="143"/>
      <c r="L25" s="144"/>
      <c r="M25" s="144"/>
      <c r="N25" s="145"/>
      <c r="O25" s="18"/>
      <c r="P25" s="19"/>
      <c r="Q25" s="20"/>
      <c r="R25" s="21"/>
      <c r="S25" s="21"/>
    </row>
    <row r="26" spans="1:19" s="22" customFormat="1" ht="24.9" customHeight="1">
      <c r="A26" s="137">
        <v>21</v>
      </c>
      <c r="B26" s="138" t="s">
        <v>77</v>
      </c>
      <c r="C26" s="139">
        <v>13723.5</v>
      </c>
      <c r="D26" s="140">
        <f>1143.6*2</f>
        <v>2287.1999999999998</v>
      </c>
      <c r="E26" s="140">
        <v>2287.1999999999998</v>
      </c>
      <c r="F26" s="141">
        <f t="shared" si="0"/>
        <v>16.66630232812329</v>
      </c>
      <c r="G26" s="141">
        <f t="shared" si="1"/>
        <v>100</v>
      </c>
      <c r="H26" s="142">
        <f t="shared" si="2"/>
        <v>0</v>
      </c>
      <c r="I26" s="139"/>
      <c r="J26" s="140"/>
      <c r="K26" s="143"/>
      <c r="L26" s="144"/>
      <c r="M26" s="144"/>
      <c r="N26" s="145"/>
      <c r="O26" s="18"/>
      <c r="P26" s="19"/>
      <c r="Q26" s="20"/>
      <c r="R26" s="21"/>
      <c r="S26" s="21"/>
    </row>
    <row r="27" spans="1:19" s="22" customFormat="1" ht="24.9" customHeight="1">
      <c r="A27" s="137">
        <v>22</v>
      </c>
      <c r="B27" s="146" t="s">
        <v>78</v>
      </c>
      <c r="C27" s="139">
        <v>16845.099999999999</v>
      </c>
      <c r="D27" s="140">
        <f>1403.7*2</f>
        <v>2807.4</v>
      </c>
      <c r="E27" s="140">
        <v>2807.4</v>
      </c>
      <c r="F27" s="141">
        <f t="shared" si="0"/>
        <v>16.66597408148364</v>
      </c>
      <c r="G27" s="141">
        <f t="shared" si="1"/>
        <v>100</v>
      </c>
      <c r="H27" s="142">
        <f t="shared" si="2"/>
        <v>0</v>
      </c>
      <c r="I27" s="139"/>
      <c r="J27" s="140"/>
      <c r="K27" s="143"/>
      <c r="L27" s="144"/>
      <c r="M27" s="144"/>
      <c r="N27" s="145"/>
      <c r="O27" s="18"/>
      <c r="P27" s="19"/>
      <c r="Q27" s="20"/>
      <c r="R27" s="21"/>
      <c r="S27" s="21"/>
    </row>
    <row r="28" spans="1:19" s="22" customFormat="1" ht="24.9" customHeight="1">
      <c r="A28" s="137">
        <v>23</v>
      </c>
      <c r="B28" s="146" t="s">
        <v>79</v>
      </c>
      <c r="C28" s="139">
        <v>19986.099999999999</v>
      </c>
      <c r="D28" s="140">
        <f>1665.5*2</f>
        <v>3331</v>
      </c>
      <c r="E28" s="140">
        <v>3331</v>
      </c>
      <c r="F28" s="141">
        <f t="shared" si="0"/>
        <v>16.666583275376386</v>
      </c>
      <c r="G28" s="141">
        <f t="shared" si="1"/>
        <v>100</v>
      </c>
      <c r="H28" s="142">
        <f t="shared" si="2"/>
        <v>0</v>
      </c>
      <c r="I28" s="139"/>
      <c r="J28" s="140"/>
      <c r="K28" s="143"/>
      <c r="L28" s="144"/>
      <c r="M28" s="144"/>
      <c r="N28" s="145"/>
      <c r="O28" s="18"/>
      <c r="P28" s="19"/>
      <c r="Q28" s="20"/>
      <c r="R28" s="21"/>
      <c r="S28" s="21"/>
    </row>
    <row r="29" spans="1:19" s="22" customFormat="1" ht="24.9" customHeight="1">
      <c r="A29" s="137">
        <v>24</v>
      </c>
      <c r="B29" s="138" t="s">
        <v>80</v>
      </c>
      <c r="C29" s="139">
        <v>11407.8</v>
      </c>
      <c r="D29" s="140">
        <f>950.6*2</f>
        <v>1901.2</v>
      </c>
      <c r="E29" s="140">
        <v>1901.2</v>
      </c>
      <c r="F29" s="141">
        <f t="shared" si="0"/>
        <v>16.66579007345851</v>
      </c>
      <c r="G29" s="141">
        <f t="shared" si="1"/>
        <v>100</v>
      </c>
      <c r="H29" s="142">
        <f t="shared" si="2"/>
        <v>0</v>
      </c>
      <c r="I29" s="139"/>
      <c r="J29" s="140"/>
      <c r="K29" s="143"/>
      <c r="L29" s="144"/>
      <c r="M29" s="144"/>
      <c r="N29" s="145"/>
      <c r="O29" s="18"/>
      <c r="P29" s="19"/>
      <c r="Q29" s="20"/>
      <c r="R29" s="21"/>
      <c r="S29" s="21"/>
    </row>
    <row r="30" spans="1:19" s="22" customFormat="1" ht="24.9" customHeight="1">
      <c r="A30" s="137">
        <v>25</v>
      </c>
      <c r="B30" s="138" t="s">
        <v>81</v>
      </c>
      <c r="C30" s="139">
        <v>15707.8</v>
      </c>
      <c r="D30" s="140">
        <f>1309*2</f>
        <v>2618</v>
      </c>
      <c r="E30" s="140">
        <v>2618</v>
      </c>
      <c r="F30" s="141">
        <f t="shared" si="0"/>
        <v>16.666878875463144</v>
      </c>
      <c r="G30" s="141">
        <f t="shared" si="1"/>
        <v>100</v>
      </c>
      <c r="H30" s="142">
        <f t="shared" si="2"/>
        <v>0</v>
      </c>
      <c r="I30" s="139"/>
      <c r="J30" s="140"/>
      <c r="K30" s="143"/>
      <c r="L30" s="144"/>
      <c r="M30" s="144"/>
      <c r="N30" s="145"/>
      <c r="O30" s="18"/>
      <c r="P30" s="19"/>
      <c r="Q30" s="20"/>
      <c r="R30" s="21"/>
      <c r="S30" s="21"/>
    </row>
    <row r="31" spans="1:19" s="22" customFormat="1" ht="24.9" customHeight="1">
      <c r="A31" s="137">
        <v>26</v>
      </c>
      <c r="B31" s="146" t="s">
        <v>82</v>
      </c>
      <c r="C31" s="139"/>
      <c r="D31" s="140"/>
      <c r="E31" s="140"/>
      <c r="F31" s="141"/>
      <c r="G31" s="141"/>
      <c r="H31" s="142"/>
      <c r="I31" s="139"/>
      <c r="J31" s="140"/>
      <c r="K31" s="143"/>
      <c r="L31" s="144"/>
      <c r="M31" s="144"/>
      <c r="N31" s="145"/>
      <c r="O31" s="18"/>
      <c r="P31" s="19"/>
      <c r="Q31" s="20"/>
      <c r="R31" s="21"/>
      <c r="S31" s="21"/>
    </row>
    <row r="32" spans="1:19" s="22" customFormat="1" ht="24.9" customHeight="1">
      <c r="A32" s="137">
        <v>27</v>
      </c>
      <c r="B32" s="153" t="s">
        <v>83</v>
      </c>
      <c r="C32" s="139">
        <v>41304.800000000003</v>
      </c>
      <c r="D32" s="140">
        <f>3442.1*2</f>
        <v>6884.2</v>
      </c>
      <c r="E32" s="140">
        <v>6884.2</v>
      </c>
      <c r="F32" s="141">
        <f t="shared" si="0"/>
        <v>16.666828068408513</v>
      </c>
      <c r="G32" s="141">
        <f t="shared" si="1"/>
        <v>100</v>
      </c>
      <c r="H32" s="142">
        <f t="shared" si="2"/>
        <v>0</v>
      </c>
      <c r="I32" s="139"/>
      <c r="J32" s="140"/>
      <c r="K32" s="143"/>
      <c r="L32" s="144"/>
      <c r="M32" s="144"/>
      <c r="N32" s="145"/>
      <c r="O32" s="18"/>
      <c r="P32" s="19"/>
      <c r="Q32" s="20"/>
      <c r="R32" s="21"/>
      <c r="S32" s="21"/>
    </row>
    <row r="33" spans="1:19" s="22" customFormat="1" ht="24.9" customHeight="1">
      <c r="A33" s="137">
        <v>28</v>
      </c>
      <c r="B33" s="138" t="s">
        <v>84</v>
      </c>
      <c r="C33" s="139"/>
      <c r="D33" s="140"/>
      <c r="E33" s="140"/>
      <c r="F33" s="141"/>
      <c r="G33" s="141"/>
      <c r="H33" s="142"/>
      <c r="I33" s="139">
        <v>11428.1</v>
      </c>
      <c r="J33" s="140">
        <f>952.4*2</f>
        <v>1904.8</v>
      </c>
      <c r="K33" s="140">
        <v>1904.8</v>
      </c>
      <c r="L33" s="144">
        <f>K33/I33*100</f>
        <v>16.667687542111111</v>
      </c>
      <c r="M33" s="144">
        <f>K33/J33*100</f>
        <v>100</v>
      </c>
      <c r="N33" s="145">
        <f>K33-J33</f>
        <v>0</v>
      </c>
      <c r="O33" s="18"/>
      <c r="P33" s="19"/>
      <c r="Q33" s="20"/>
      <c r="R33" s="21"/>
      <c r="S33" s="21"/>
    </row>
    <row r="34" spans="1:19" s="22" customFormat="1" ht="24.9" customHeight="1">
      <c r="A34" s="137">
        <v>29</v>
      </c>
      <c r="B34" s="138" t="s">
        <v>85</v>
      </c>
      <c r="C34" s="154">
        <v>33967.1</v>
      </c>
      <c r="D34" s="155">
        <f>2830.6*2</f>
        <v>5661.2</v>
      </c>
      <c r="E34" s="155">
        <v>5661.2</v>
      </c>
      <c r="F34" s="144">
        <f t="shared" ref="F34:F45" si="3">E34/C34*100</f>
        <v>16.666715733754135</v>
      </c>
      <c r="G34" s="144">
        <f t="shared" ref="G34:G45" si="4">E34/D34*100</f>
        <v>100</v>
      </c>
      <c r="H34" s="145">
        <f t="shared" ref="H34:H45" si="5">E34-D34</f>
        <v>0</v>
      </c>
      <c r="I34" s="154"/>
      <c r="J34" s="155"/>
      <c r="K34" s="156"/>
      <c r="L34" s="144"/>
      <c r="M34" s="144"/>
      <c r="N34" s="145"/>
      <c r="O34" s="18"/>
      <c r="P34" s="19"/>
      <c r="Q34" s="20"/>
      <c r="R34" s="21"/>
      <c r="S34" s="21"/>
    </row>
    <row r="35" spans="1:19" s="22" customFormat="1" ht="24.9" customHeight="1" thickBot="1">
      <c r="A35" s="147">
        <v>30</v>
      </c>
      <c r="B35" s="157" t="s">
        <v>86</v>
      </c>
      <c r="C35" s="158"/>
      <c r="D35" s="159"/>
      <c r="E35" s="159"/>
      <c r="F35" s="151"/>
      <c r="G35" s="151"/>
      <c r="H35" s="152"/>
      <c r="I35" s="158"/>
      <c r="J35" s="159"/>
      <c r="K35" s="160"/>
      <c r="L35" s="151"/>
      <c r="M35" s="151"/>
      <c r="N35" s="152"/>
      <c r="O35" s="18"/>
      <c r="P35" s="19"/>
      <c r="Q35" s="20"/>
      <c r="R35" s="21"/>
      <c r="S35" s="21"/>
    </row>
    <row r="36" spans="1:19" s="22" customFormat="1" ht="24.9" customHeight="1">
      <c r="A36" s="130">
        <v>31</v>
      </c>
      <c r="B36" s="161" t="s">
        <v>41</v>
      </c>
      <c r="C36" s="132">
        <v>3343.5</v>
      </c>
      <c r="D36" s="133">
        <f>278.6*2</f>
        <v>557.20000000000005</v>
      </c>
      <c r="E36" s="133">
        <v>557.20000000000005</v>
      </c>
      <c r="F36" s="134">
        <f t="shared" si="3"/>
        <v>16.665171227755348</v>
      </c>
      <c r="G36" s="134">
        <f t="shared" si="4"/>
        <v>100</v>
      </c>
      <c r="H36" s="135">
        <f t="shared" si="5"/>
        <v>0</v>
      </c>
      <c r="I36" s="132"/>
      <c r="J36" s="133"/>
      <c r="K36" s="136"/>
      <c r="L36" s="134"/>
      <c r="M36" s="134"/>
      <c r="N36" s="135"/>
      <c r="O36" s="18"/>
      <c r="P36" s="19"/>
      <c r="Q36" s="20"/>
      <c r="R36" s="21"/>
      <c r="S36" s="21"/>
    </row>
    <row r="37" spans="1:19" s="22" customFormat="1" ht="24.9" customHeight="1">
      <c r="A37" s="137">
        <v>32</v>
      </c>
      <c r="B37" s="162" t="s">
        <v>42</v>
      </c>
      <c r="C37" s="154">
        <v>3353.7</v>
      </c>
      <c r="D37" s="155">
        <f>279.5*2</f>
        <v>559</v>
      </c>
      <c r="E37" s="155">
        <v>559</v>
      </c>
      <c r="F37" s="144">
        <f t="shared" si="3"/>
        <v>16.668157557324747</v>
      </c>
      <c r="G37" s="144">
        <f t="shared" si="4"/>
        <v>100</v>
      </c>
      <c r="H37" s="145">
        <f t="shared" si="5"/>
        <v>0</v>
      </c>
      <c r="I37" s="154"/>
      <c r="J37" s="155"/>
      <c r="K37" s="156"/>
      <c r="L37" s="144"/>
      <c r="M37" s="144"/>
      <c r="N37" s="145"/>
      <c r="O37" s="18"/>
      <c r="P37" s="19"/>
      <c r="Q37" s="20"/>
      <c r="R37" s="21"/>
      <c r="S37" s="21"/>
    </row>
    <row r="38" spans="1:19" s="22" customFormat="1" ht="24.9" customHeight="1">
      <c r="A38" s="137">
        <v>33</v>
      </c>
      <c r="B38" s="162" t="s">
        <v>43</v>
      </c>
      <c r="C38" s="154">
        <v>2497.6999999999998</v>
      </c>
      <c r="D38" s="155">
        <f>208.2*2</f>
        <v>416.4</v>
      </c>
      <c r="E38" s="155">
        <v>416.4</v>
      </c>
      <c r="F38" s="144">
        <f t="shared" si="3"/>
        <v>16.671337630620169</v>
      </c>
      <c r="G38" s="144">
        <f t="shared" si="4"/>
        <v>100</v>
      </c>
      <c r="H38" s="145">
        <f t="shared" si="5"/>
        <v>0</v>
      </c>
      <c r="I38" s="154"/>
      <c r="J38" s="155"/>
      <c r="K38" s="156"/>
      <c r="L38" s="144"/>
      <c r="M38" s="144"/>
      <c r="N38" s="145"/>
      <c r="O38" s="18"/>
      <c r="P38" s="19"/>
      <c r="Q38" s="20"/>
      <c r="R38" s="21"/>
      <c r="S38" s="21"/>
    </row>
    <row r="39" spans="1:19" s="22" customFormat="1" ht="24.9" customHeight="1">
      <c r="A39" s="137">
        <v>34</v>
      </c>
      <c r="B39" s="162" t="s">
        <v>44</v>
      </c>
      <c r="C39" s="154">
        <v>4396.3</v>
      </c>
      <c r="D39" s="155">
        <f>366.3*2</f>
        <v>732.6</v>
      </c>
      <c r="E39" s="155">
        <v>732.6</v>
      </c>
      <c r="F39" s="144">
        <f t="shared" si="3"/>
        <v>16.664012919955418</v>
      </c>
      <c r="G39" s="144">
        <f t="shared" si="4"/>
        <v>100</v>
      </c>
      <c r="H39" s="145">
        <f t="shared" si="5"/>
        <v>0</v>
      </c>
      <c r="I39" s="154"/>
      <c r="J39" s="155"/>
      <c r="K39" s="156"/>
      <c r="L39" s="144"/>
      <c r="M39" s="144"/>
      <c r="N39" s="145"/>
      <c r="O39" s="18"/>
      <c r="P39" s="19"/>
      <c r="Q39" s="20"/>
      <c r="R39" s="21"/>
      <c r="S39" s="21"/>
    </row>
    <row r="40" spans="1:19" s="22" customFormat="1" ht="24.9" customHeight="1">
      <c r="A40" s="137">
        <v>35</v>
      </c>
      <c r="B40" s="162" t="s">
        <v>38</v>
      </c>
      <c r="C40" s="154">
        <v>2834.4</v>
      </c>
      <c r="D40" s="155">
        <f>236.2*2</f>
        <v>472.4</v>
      </c>
      <c r="E40" s="155">
        <v>472.4</v>
      </c>
      <c r="F40" s="144">
        <f t="shared" si="3"/>
        <v>16.666666666666664</v>
      </c>
      <c r="G40" s="144">
        <f t="shared" si="4"/>
        <v>100</v>
      </c>
      <c r="H40" s="145">
        <f t="shared" si="5"/>
        <v>0</v>
      </c>
      <c r="I40" s="154"/>
      <c r="J40" s="155"/>
      <c r="K40" s="156"/>
      <c r="L40" s="144"/>
      <c r="M40" s="144"/>
      <c r="N40" s="145"/>
      <c r="O40" s="18"/>
      <c r="P40" s="19"/>
      <c r="Q40" s="20"/>
      <c r="R40" s="21"/>
      <c r="S40" s="21"/>
    </row>
    <row r="41" spans="1:19" s="22" customFormat="1" ht="24.9" customHeight="1">
      <c r="A41" s="137">
        <v>36</v>
      </c>
      <c r="B41" s="162" t="s">
        <v>51</v>
      </c>
      <c r="C41" s="154">
        <v>2982.6</v>
      </c>
      <c r="D41" s="155">
        <f>248.5*2</f>
        <v>497</v>
      </c>
      <c r="E41" s="155">
        <v>497</v>
      </c>
      <c r="F41" s="144">
        <f t="shared" si="3"/>
        <v>16.6633138872125</v>
      </c>
      <c r="G41" s="144">
        <f t="shared" si="4"/>
        <v>100</v>
      </c>
      <c r="H41" s="145">
        <f t="shared" si="5"/>
        <v>0</v>
      </c>
      <c r="I41" s="154"/>
      <c r="J41" s="155"/>
      <c r="K41" s="156"/>
      <c r="L41" s="144"/>
      <c r="M41" s="144"/>
      <c r="N41" s="145"/>
      <c r="O41" s="18"/>
      <c r="P41" s="19"/>
      <c r="Q41" s="20"/>
      <c r="R41" s="21"/>
      <c r="S41" s="21"/>
    </row>
    <row r="42" spans="1:19" s="22" customFormat="1" ht="24.9" customHeight="1">
      <c r="A42" s="137">
        <v>37</v>
      </c>
      <c r="B42" s="162" t="s">
        <v>45</v>
      </c>
      <c r="C42" s="154">
        <v>2137.3000000000002</v>
      </c>
      <c r="D42" s="155">
        <f>178.1*2</f>
        <v>356.2</v>
      </c>
      <c r="E42" s="155">
        <v>356.2</v>
      </c>
      <c r="F42" s="144">
        <f t="shared" si="3"/>
        <v>16.665886866607398</v>
      </c>
      <c r="G42" s="144">
        <f t="shared" si="4"/>
        <v>100</v>
      </c>
      <c r="H42" s="145">
        <f t="shared" si="5"/>
        <v>0</v>
      </c>
      <c r="I42" s="154"/>
      <c r="J42" s="155"/>
      <c r="K42" s="156"/>
      <c r="L42" s="144"/>
      <c r="M42" s="144"/>
      <c r="N42" s="145"/>
      <c r="O42" s="18"/>
      <c r="P42" s="19"/>
      <c r="Q42" s="20"/>
      <c r="R42" s="21"/>
      <c r="S42" s="21"/>
    </row>
    <row r="43" spans="1:19" s="22" customFormat="1" ht="24.9" customHeight="1">
      <c r="A43" s="137">
        <v>38</v>
      </c>
      <c r="B43" s="162" t="s">
        <v>37</v>
      </c>
      <c r="C43" s="154">
        <v>1286.2</v>
      </c>
      <c r="D43" s="155">
        <f>107.2*2</f>
        <v>214.4</v>
      </c>
      <c r="E43" s="155">
        <v>214.4</v>
      </c>
      <c r="F43" s="144">
        <f t="shared" si="3"/>
        <v>16.669258280205256</v>
      </c>
      <c r="G43" s="144">
        <f t="shared" si="4"/>
        <v>100</v>
      </c>
      <c r="H43" s="145">
        <f t="shared" si="5"/>
        <v>0</v>
      </c>
      <c r="I43" s="154"/>
      <c r="J43" s="155"/>
      <c r="K43" s="156"/>
      <c r="L43" s="144"/>
      <c r="M43" s="144"/>
      <c r="N43" s="145"/>
      <c r="O43" s="18"/>
      <c r="P43" s="19"/>
      <c r="Q43" s="20"/>
      <c r="R43" s="21"/>
      <c r="S43" s="21"/>
    </row>
    <row r="44" spans="1:19" s="22" customFormat="1" ht="24.9" customHeight="1">
      <c r="A44" s="137">
        <v>39</v>
      </c>
      <c r="B44" s="162" t="s">
        <v>46</v>
      </c>
      <c r="C44" s="154">
        <v>3051</v>
      </c>
      <c r="D44" s="155">
        <f>254.2*2</f>
        <v>508.4</v>
      </c>
      <c r="E44" s="155">
        <v>508.4</v>
      </c>
      <c r="F44" s="144">
        <f t="shared" si="3"/>
        <v>16.663389052769585</v>
      </c>
      <c r="G44" s="144">
        <f t="shared" si="4"/>
        <v>100</v>
      </c>
      <c r="H44" s="145">
        <f t="shared" si="5"/>
        <v>0</v>
      </c>
      <c r="I44" s="154"/>
      <c r="J44" s="155"/>
      <c r="K44" s="156"/>
      <c r="L44" s="144"/>
      <c r="M44" s="144"/>
      <c r="N44" s="145"/>
      <c r="O44" s="18"/>
      <c r="P44" s="19"/>
      <c r="Q44" s="20"/>
      <c r="R44" s="21"/>
      <c r="S44" s="21"/>
    </row>
    <row r="45" spans="1:19" s="22" customFormat="1" ht="24.9" customHeight="1">
      <c r="A45" s="137">
        <v>40</v>
      </c>
      <c r="B45" s="162" t="s">
        <v>49</v>
      </c>
      <c r="C45" s="154">
        <v>1954.4</v>
      </c>
      <c r="D45" s="155">
        <f>162.9*2</f>
        <v>325.8</v>
      </c>
      <c r="E45" s="155">
        <v>325.8</v>
      </c>
      <c r="F45" s="144">
        <f t="shared" si="3"/>
        <v>16.670077773229636</v>
      </c>
      <c r="G45" s="144">
        <f t="shared" si="4"/>
        <v>100</v>
      </c>
      <c r="H45" s="145">
        <f t="shared" si="5"/>
        <v>0</v>
      </c>
      <c r="I45" s="154"/>
      <c r="J45" s="155"/>
      <c r="K45" s="156"/>
      <c r="L45" s="144"/>
      <c r="M45" s="144"/>
      <c r="N45" s="145"/>
      <c r="O45" s="18"/>
      <c r="P45" s="19"/>
      <c r="Q45" s="20"/>
      <c r="R45" s="21"/>
      <c r="S45" s="21"/>
    </row>
    <row r="46" spans="1:19" s="22" customFormat="1" ht="24.9" customHeight="1">
      <c r="A46" s="137">
        <v>41</v>
      </c>
      <c r="B46" s="162" t="s">
        <v>47</v>
      </c>
      <c r="C46" s="154"/>
      <c r="D46" s="155"/>
      <c r="E46" s="155"/>
      <c r="F46" s="144"/>
      <c r="G46" s="144"/>
      <c r="H46" s="145"/>
      <c r="I46" s="154">
        <v>744.9</v>
      </c>
      <c r="J46" s="155">
        <f>62.1*2</f>
        <v>124.2</v>
      </c>
      <c r="K46" s="155">
        <v>124.2</v>
      </c>
      <c r="L46" s="144">
        <f>K46/I46*100</f>
        <v>16.6733789770439</v>
      </c>
      <c r="M46" s="144">
        <f>K46/J46*100</f>
        <v>100</v>
      </c>
      <c r="N46" s="145">
        <f>K46-J46</f>
        <v>0</v>
      </c>
      <c r="O46" s="18"/>
      <c r="P46" s="19"/>
      <c r="Q46" s="20"/>
      <c r="R46" s="21"/>
      <c r="S46" s="21"/>
    </row>
    <row r="47" spans="1:19" s="22" customFormat="1" ht="24.9" customHeight="1">
      <c r="A47" s="137">
        <v>42</v>
      </c>
      <c r="B47" s="162" t="s">
        <v>50</v>
      </c>
      <c r="C47" s="154">
        <v>5356.6</v>
      </c>
      <c r="D47" s="155">
        <f>446.4*2</f>
        <v>892.8</v>
      </c>
      <c r="E47" s="155">
        <v>892.8</v>
      </c>
      <c r="F47" s="144">
        <f>E47/C47*100</f>
        <v>16.667288951947128</v>
      </c>
      <c r="G47" s="144">
        <f>E47/D47*100</f>
        <v>100</v>
      </c>
      <c r="H47" s="145">
        <f>E47-D47</f>
        <v>0</v>
      </c>
      <c r="I47" s="154"/>
      <c r="J47" s="155"/>
      <c r="K47" s="156"/>
      <c r="L47" s="144"/>
      <c r="M47" s="144"/>
      <c r="N47" s="145"/>
      <c r="O47" s="18"/>
      <c r="P47" s="19"/>
      <c r="Q47" s="20"/>
      <c r="R47" s="21"/>
      <c r="S47" s="21"/>
    </row>
    <row r="48" spans="1:19" s="22" customFormat="1" ht="24.9" customHeight="1">
      <c r="A48" s="137">
        <v>43</v>
      </c>
      <c r="B48" s="162" t="s">
        <v>39</v>
      </c>
      <c r="C48" s="154">
        <v>1950.4</v>
      </c>
      <c r="D48" s="155">
        <f>162.5*2</f>
        <v>325</v>
      </c>
      <c r="E48" s="155">
        <v>325</v>
      </c>
      <c r="F48" s="144">
        <f>E48/C48*100</f>
        <v>16.663248564397044</v>
      </c>
      <c r="G48" s="144">
        <f>E48/D48*100</f>
        <v>100</v>
      </c>
      <c r="H48" s="145">
        <f>E48-D48</f>
        <v>0</v>
      </c>
      <c r="I48" s="154"/>
      <c r="J48" s="155"/>
      <c r="K48" s="156"/>
      <c r="L48" s="144"/>
      <c r="M48" s="144"/>
      <c r="N48" s="145"/>
      <c r="O48" s="18"/>
      <c r="P48" s="19"/>
      <c r="Q48" s="20"/>
      <c r="R48" s="21"/>
      <c r="S48" s="21"/>
    </row>
    <row r="49" spans="1:19" s="22" customFormat="1" ht="24.9" customHeight="1">
      <c r="A49" s="137">
        <v>44</v>
      </c>
      <c r="B49" s="162" t="s">
        <v>40</v>
      </c>
      <c r="C49" s="154">
        <v>4415.5</v>
      </c>
      <c r="D49" s="155">
        <f>367.9*2</f>
        <v>735.8</v>
      </c>
      <c r="E49" s="155">
        <v>735.8</v>
      </c>
      <c r="F49" s="144">
        <f>E49/C49*100</f>
        <v>16.664024459291131</v>
      </c>
      <c r="G49" s="144">
        <f>E49/D49*100</f>
        <v>100</v>
      </c>
      <c r="H49" s="145">
        <f>E49-D49</f>
        <v>0</v>
      </c>
      <c r="I49" s="154"/>
      <c r="J49" s="155"/>
      <c r="K49" s="156"/>
      <c r="L49" s="144"/>
      <c r="M49" s="144"/>
      <c r="N49" s="145"/>
      <c r="O49" s="18"/>
      <c r="P49" s="19"/>
      <c r="Q49" s="20"/>
      <c r="R49" s="21"/>
      <c r="S49" s="21"/>
    </row>
    <row r="50" spans="1:19" s="22" customFormat="1" ht="24.9" customHeight="1">
      <c r="A50" s="137">
        <v>45</v>
      </c>
      <c r="B50" s="163" t="s">
        <v>48</v>
      </c>
      <c r="C50" s="158">
        <v>2379.9</v>
      </c>
      <c r="D50" s="159">
        <f>198.3*2</f>
        <v>396.6</v>
      </c>
      <c r="E50" s="159">
        <v>396.6</v>
      </c>
      <c r="F50" s="144">
        <f t="shared" ref="F50:F56" si="6">E50/C50*100</f>
        <v>16.664565738056222</v>
      </c>
      <c r="G50" s="144">
        <f t="shared" ref="G50:G56" si="7">E50/D50*100</f>
        <v>100</v>
      </c>
      <c r="H50" s="145">
        <f t="shared" ref="H50:H56" si="8">E50-D50</f>
        <v>0</v>
      </c>
      <c r="I50" s="158"/>
      <c r="J50" s="159"/>
      <c r="K50" s="160"/>
      <c r="L50" s="151"/>
      <c r="M50" s="151"/>
      <c r="N50" s="152"/>
      <c r="O50" s="18"/>
      <c r="P50" s="19"/>
      <c r="Q50" s="20"/>
      <c r="R50" s="21"/>
      <c r="S50" s="21"/>
    </row>
    <row r="51" spans="1:19" s="22" customFormat="1" ht="24.9" customHeight="1">
      <c r="A51" s="137">
        <v>46</v>
      </c>
      <c r="B51" s="163" t="s">
        <v>58</v>
      </c>
      <c r="C51" s="158">
        <v>14571.6</v>
      </c>
      <c r="D51" s="159">
        <f>1214.3*2</f>
        <v>2428.6</v>
      </c>
      <c r="E51" s="159">
        <v>2428.6</v>
      </c>
      <c r="F51" s="144">
        <f t="shared" si="6"/>
        <v>16.666666666666664</v>
      </c>
      <c r="G51" s="144">
        <f t="shared" si="7"/>
        <v>100</v>
      </c>
      <c r="H51" s="145">
        <f t="shared" si="8"/>
        <v>0</v>
      </c>
      <c r="I51" s="158"/>
      <c r="J51" s="159"/>
      <c r="K51" s="160"/>
      <c r="L51" s="151"/>
      <c r="M51" s="151"/>
      <c r="N51" s="152"/>
      <c r="O51" s="18"/>
      <c r="P51" s="19"/>
      <c r="Q51" s="20"/>
      <c r="R51" s="21"/>
      <c r="S51" s="21"/>
    </row>
    <row r="52" spans="1:19" s="22" customFormat="1" ht="24.9" customHeight="1">
      <c r="A52" s="137">
        <v>47</v>
      </c>
      <c r="B52" s="163" t="s">
        <v>59</v>
      </c>
      <c r="C52" s="158">
        <v>1535.5</v>
      </c>
      <c r="D52" s="159">
        <f>127.9*2</f>
        <v>255.8</v>
      </c>
      <c r="E52" s="159">
        <v>255.8</v>
      </c>
      <c r="F52" s="144">
        <f t="shared" si="6"/>
        <v>16.659068707261479</v>
      </c>
      <c r="G52" s="144">
        <f t="shared" si="7"/>
        <v>100</v>
      </c>
      <c r="H52" s="145">
        <f t="shared" si="8"/>
        <v>0</v>
      </c>
      <c r="I52" s="158"/>
      <c r="J52" s="159"/>
      <c r="K52" s="160"/>
      <c r="L52" s="151"/>
      <c r="M52" s="151"/>
      <c r="N52" s="152"/>
      <c r="O52" s="18"/>
      <c r="P52" s="19"/>
      <c r="Q52" s="20"/>
      <c r="R52" s="21"/>
      <c r="S52" s="21"/>
    </row>
    <row r="53" spans="1:19" s="22" customFormat="1" ht="24.9" customHeight="1">
      <c r="A53" s="137">
        <v>48</v>
      </c>
      <c r="B53" s="163" t="s">
        <v>60</v>
      </c>
      <c r="C53" s="158">
        <v>8512.2000000000007</v>
      </c>
      <c r="D53" s="159">
        <f>709.3*2</f>
        <v>1418.6</v>
      </c>
      <c r="E53" s="159">
        <v>1418.6</v>
      </c>
      <c r="F53" s="144">
        <f t="shared" si="6"/>
        <v>16.665491882239607</v>
      </c>
      <c r="G53" s="144">
        <f t="shared" si="7"/>
        <v>100</v>
      </c>
      <c r="H53" s="145">
        <f t="shared" si="8"/>
        <v>0</v>
      </c>
      <c r="I53" s="158"/>
      <c r="J53" s="159"/>
      <c r="K53" s="160"/>
      <c r="L53" s="151"/>
      <c r="M53" s="151"/>
      <c r="N53" s="152"/>
      <c r="O53" s="18"/>
      <c r="P53" s="19"/>
      <c r="Q53" s="20"/>
      <c r="R53" s="21"/>
      <c r="S53" s="21"/>
    </row>
    <row r="54" spans="1:19" s="22" customFormat="1" ht="24.9" customHeight="1">
      <c r="A54" s="137">
        <v>49</v>
      </c>
      <c r="B54" s="163" t="s">
        <v>61</v>
      </c>
      <c r="C54" s="158">
        <v>1840.5</v>
      </c>
      <c r="D54" s="159">
        <f>153.4*2</f>
        <v>306.8</v>
      </c>
      <c r="E54" s="159">
        <v>306.8</v>
      </c>
      <c r="F54" s="144">
        <f t="shared" si="6"/>
        <v>16.669383319750068</v>
      </c>
      <c r="G54" s="144">
        <f t="shared" si="7"/>
        <v>100</v>
      </c>
      <c r="H54" s="145">
        <f t="shared" si="8"/>
        <v>0</v>
      </c>
      <c r="I54" s="158"/>
      <c r="J54" s="159"/>
      <c r="K54" s="160"/>
      <c r="L54" s="151"/>
      <c r="M54" s="151"/>
      <c r="N54" s="152"/>
      <c r="O54" s="18"/>
      <c r="P54" s="19"/>
      <c r="Q54" s="20"/>
      <c r="R54" s="21"/>
      <c r="S54" s="21"/>
    </row>
    <row r="55" spans="1:19" s="22" customFormat="1" ht="24.9" customHeight="1">
      <c r="A55" s="137">
        <v>50</v>
      </c>
      <c r="B55" s="163" t="s">
        <v>62</v>
      </c>
      <c r="C55" s="158">
        <v>6084.7</v>
      </c>
      <c r="D55" s="159">
        <f>507*2</f>
        <v>1014</v>
      </c>
      <c r="E55" s="159">
        <v>1014</v>
      </c>
      <c r="F55" s="144">
        <f t="shared" si="6"/>
        <v>16.664749289200785</v>
      </c>
      <c r="G55" s="144">
        <f t="shared" si="7"/>
        <v>100</v>
      </c>
      <c r="H55" s="145">
        <f t="shared" si="8"/>
        <v>0</v>
      </c>
      <c r="I55" s="158"/>
      <c r="J55" s="159"/>
      <c r="K55" s="160"/>
      <c r="L55" s="151"/>
      <c r="M55" s="151"/>
      <c r="N55" s="152"/>
      <c r="O55" s="18"/>
      <c r="P55" s="19"/>
      <c r="Q55" s="20"/>
      <c r="R55" s="21"/>
      <c r="S55" s="21"/>
    </row>
    <row r="56" spans="1:19" s="22" customFormat="1" ht="24.9" customHeight="1">
      <c r="A56" s="137">
        <v>51</v>
      </c>
      <c r="B56" s="163" t="s">
        <v>63</v>
      </c>
      <c r="C56" s="158">
        <v>2331</v>
      </c>
      <c r="D56" s="159">
        <f>194.2*2</f>
        <v>388.4</v>
      </c>
      <c r="E56" s="159">
        <v>388.4</v>
      </c>
      <c r="F56" s="144">
        <f t="shared" si="6"/>
        <v>16.662376662376658</v>
      </c>
      <c r="G56" s="144">
        <f t="shared" si="7"/>
        <v>100</v>
      </c>
      <c r="H56" s="145">
        <f t="shared" si="8"/>
        <v>0</v>
      </c>
      <c r="I56" s="158"/>
      <c r="J56" s="159"/>
      <c r="K56" s="160"/>
      <c r="L56" s="151"/>
      <c r="M56" s="151"/>
      <c r="N56" s="152"/>
      <c r="O56" s="18"/>
      <c r="P56" s="19"/>
      <c r="Q56" s="20"/>
      <c r="R56" s="21"/>
      <c r="S56" s="21"/>
    </row>
    <row r="57" spans="1:19" s="22" customFormat="1" ht="24.9" customHeight="1">
      <c r="A57" s="137">
        <v>52</v>
      </c>
      <c r="B57" s="164" t="s">
        <v>64</v>
      </c>
      <c r="C57" s="165">
        <v>3067.7</v>
      </c>
      <c r="D57" s="155">
        <f>255.7*2</f>
        <v>511.4</v>
      </c>
      <c r="E57" s="155">
        <v>511.4</v>
      </c>
      <c r="F57" s="144">
        <f>E57/C57*100</f>
        <v>16.670469733024742</v>
      </c>
      <c r="G57" s="144">
        <f>E57/D57*100</f>
        <v>100</v>
      </c>
      <c r="H57" s="145">
        <f>E57-D57</f>
        <v>0</v>
      </c>
      <c r="I57" s="165"/>
      <c r="J57" s="155"/>
      <c r="K57" s="156"/>
      <c r="L57" s="144"/>
      <c r="M57" s="144"/>
      <c r="N57" s="145"/>
      <c r="O57" s="18"/>
      <c r="P57" s="19"/>
      <c r="Q57" s="20"/>
      <c r="R57" s="21"/>
      <c r="S57" s="21"/>
    </row>
    <row r="58" spans="1:19" s="22" customFormat="1" ht="24.9" customHeight="1">
      <c r="A58" s="166">
        <v>53</v>
      </c>
      <c r="B58" s="162" t="s">
        <v>94</v>
      </c>
      <c r="C58" s="165">
        <v>6872.2</v>
      </c>
      <c r="D58" s="155">
        <f>572.7*2</f>
        <v>1145.4000000000001</v>
      </c>
      <c r="E58" s="155"/>
      <c r="F58" s="141">
        <f t="shared" ref="F58:F70" si="9">E58/C58*100</f>
        <v>0</v>
      </c>
      <c r="G58" s="144">
        <f t="shared" ref="G58:G70" si="10">E58/D58*100</f>
        <v>0</v>
      </c>
      <c r="H58" s="145">
        <f t="shared" ref="H58:H70" si="11">E58-D58</f>
        <v>-1145.4000000000001</v>
      </c>
      <c r="I58" s="165"/>
      <c r="J58" s="155"/>
      <c r="K58" s="156"/>
      <c r="L58" s="144"/>
      <c r="M58" s="144"/>
      <c r="N58" s="145"/>
      <c r="O58" s="18"/>
      <c r="P58" s="19"/>
      <c r="Q58" s="20"/>
      <c r="R58" s="21"/>
      <c r="S58" s="21"/>
    </row>
    <row r="59" spans="1:19" s="22" customFormat="1" ht="24.9" customHeight="1">
      <c r="A59" s="166">
        <v>54</v>
      </c>
      <c r="B59" s="162" t="s">
        <v>95</v>
      </c>
      <c r="C59" s="165">
        <v>5625.3</v>
      </c>
      <c r="D59" s="155">
        <f>468.8*2</f>
        <v>937.6</v>
      </c>
      <c r="E59" s="155">
        <v>937.6</v>
      </c>
      <c r="F59" s="141">
        <f t="shared" si="9"/>
        <v>16.667555508150677</v>
      </c>
      <c r="G59" s="144">
        <f t="shared" si="10"/>
        <v>100</v>
      </c>
      <c r="H59" s="145">
        <f t="shared" si="11"/>
        <v>0</v>
      </c>
      <c r="I59" s="165"/>
      <c r="J59" s="155"/>
      <c r="K59" s="156"/>
      <c r="L59" s="144"/>
      <c r="M59" s="144"/>
      <c r="N59" s="145"/>
      <c r="O59" s="18"/>
      <c r="P59" s="19"/>
      <c r="Q59" s="20"/>
      <c r="R59" s="21"/>
      <c r="S59" s="21"/>
    </row>
    <row r="60" spans="1:19" s="22" customFormat="1" ht="24.9" customHeight="1">
      <c r="A60" s="166">
        <v>55</v>
      </c>
      <c r="B60" s="162" t="s">
        <v>96</v>
      </c>
      <c r="C60" s="165">
        <v>7743.3</v>
      </c>
      <c r="D60" s="155">
        <f>645.3*2</f>
        <v>1290.5999999999999</v>
      </c>
      <c r="E60" s="155">
        <v>1290.5999999999999</v>
      </c>
      <c r="F60" s="141">
        <f t="shared" si="9"/>
        <v>16.667312386191931</v>
      </c>
      <c r="G60" s="144">
        <f t="shared" si="10"/>
        <v>100</v>
      </c>
      <c r="H60" s="145">
        <f t="shared" si="11"/>
        <v>0</v>
      </c>
      <c r="I60" s="165"/>
      <c r="J60" s="155"/>
      <c r="K60" s="156"/>
      <c r="L60" s="144"/>
      <c r="M60" s="144"/>
      <c r="N60" s="145"/>
      <c r="O60" s="18"/>
      <c r="P60" s="19"/>
      <c r="Q60" s="20"/>
      <c r="R60" s="21"/>
      <c r="S60" s="21"/>
    </row>
    <row r="61" spans="1:19" s="22" customFormat="1" ht="24.9" customHeight="1">
      <c r="A61" s="166">
        <v>56</v>
      </c>
      <c r="B61" s="162" t="s">
        <v>97</v>
      </c>
      <c r="C61" s="165">
        <v>1528.9</v>
      </c>
      <c r="D61" s="155">
        <f>127.4*2</f>
        <v>254.8</v>
      </c>
      <c r="E61" s="155">
        <v>254.8</v>
      </c>
      <c r="F61" s="141">
        <f t="shared" si="9"/>
        <v>16.665576558309898</v>
      </c>
      <c r="G61" s="144">
        <f t="shared" si="10"/>
        <v>100</v>
      </c>
      <c r="H61" s="145">
        <f t="shared" si="11"/>
        <v>0</v>
      </c>
      <c r="I61" s="165"/>
      <c r="J61" s="155"/>
      <c r="K61" s="156"/>
      <c r="L61" s="144"/>
      <c r="M61" s="144"/>
      <c r="N61" s="145"/>
      <c r="O61" s="18"/>
      <c r="P61" s="19"/>
      <c r="Q61" s="20"/>
      <c r="R61" s="21"/>
      <c r="S61" s="21"/>
    </row>
    <row r="62" spans="1:19" s="22" customFormat="1" ht="24.9" customHeight="1">
      <c r="A62" s="166">
        <v>57</v>
      </c>
      <c r="B62" s="162" t="s">
        <v>98</v>
      </c>
      <c r="C62" s="165">
        <v>4073.1</v>
      </c>
      <c r="D62" s="155">
        <f>339.4*2</f>
        <v>678.8</v>
      </c>
      <c r="E62" s="155">
        <v>678.8</v>
      </c>
      <c r="F62" s="141">
        <f t="shared" si="9"/>
        <v>16.665439100439468</v>
      </c>
      <c r="G62" s="144">
        <f t="shared" si="10"/>
        <v>100</v>
      </c>
      <c r="H62" s="145">
        <f t="shared" si="11"/>
        <v>0</v>
      </c>
      <c r="I62" s="165"/>
      <c r="J62" s="155"/>
      <c r="K62" s="156"/>
      <c r="L62" s="144"/>
      <c r="M62" s="144"/>
      <c r="N62" s="145"/>
      <c r="O62" s="18"/>
      <c r="P62" s="19"/>
      <c r="Q62" s="20"/>
      <c r="R62" s="21"/>
      <c r="S62" s="21"/>
    </row>
    <row r="63" spans="1:19" s="22" customFormat="1" ht="24.9" customHeight="1">
      <c r="A63" s="166">
        <v>58</v>
      </c>
      <c r="B63" s="162" t="s">
        <v>99</v>
      </c>
      <c r="C63" s="165"/>
      <c r="D63" s="155"/>
      <c r="E63" s="155"/>
      <c r="F63" s="144"/>
      <c r="G63" s="144"/>
      <c r="H63" s="145"/>
      <c r="I63" s="165">
        <v>4293.7</v>
      </c>
      <c r="J63" s="155">
        <f>357.8*2</f>
        <v>715.6</v>
      </c>
      <c r="K63" s="155">
        <v>715.6</v>
      </c>
      <c r="L63" s="144">
        <f>K63/I63*100</f>
        <v>16.666278501059693</v>
      </c>
      <c r="M63" s="144">
        <f>K63/J63*100</f>
        <v>100</v>
      </c>
      <c r="N63" s="145">
        <f>K63-J63</f>
        <v>0</v>
      </c>
      <c r="O63" s="18"/>
      <c r="P63" s="19"/>
      <c r="Q63" s="20"/>
      <c r="R63" s="21"/>
      <c r="S63" s="21"/>
    </row>
    <row r="64" spans="1:19" s="22" customFormat="1" ht="24.9" customHeight="1">
      <c r="A64" s="166">
        <v>59</v>
      </c>
      <c r="B64" s="162" t="s">
        <v>100</v>
      </c>
      <c r="C64" s="165">
        <v>7592.2</v>
      </c>
      <c r="D64" s="155">
        <f>632.7*2</f>
        <v>1265.4000000000001</v>
      </c>
      <c r="E64" s="155">
        <v>1265.4000000000001</v>
      </c>
      <c r="F64" s="141">
        <f t="shared" si="9"/>
        <v>16.667105713758858</v>
      </c>
      <c r="G64" s="144">
        <f t="shared" si="10"/>
        <v>100</v>
      </c>
      <c r="H64" s="145">
        <f t="shared" si="11"/>
        <v>0</v>
      </c>
      <c r="I64" s="165"/>
      <c r="J64" s="155"/>
      <c r="K64" s="156"/>
      <c r="L64" s="144"/>
      <c r="M64" s="144"/>
      <c r="N64" s="145"/>
      <c r="O64" s="18"/>
      <c r="P64" s="19"/>
      <c r="Q64" s="20"/>
      <c r="R64" s="21"/>
      <c r="S64" s="21"/>
    </row>
    <row r="65" spans="1:19" s="22" customFormat="1" ht="24.9" customHeight="1">
      <c r="A65" s="166">
        <v>60</v>
      </c>
      <c r="B65" s="162" t="s">
        <v>101</v>
      </c>
      <c r="C65" s="165">
        <v>10325.6</v>
      </c>
      <c r="D65" s="155">
        <f>860.5*2</f>
        <v>1721</v>
      </c>
      <c r="E65" s="155">
        <v>1721</v>
      </c>
      <c r="F65" s="141">
        <f t="shared" si="9"/>
        <v>16.667312311148986</v>
      </c>
      <c r="G65" s="144">
        <f t="shared" si="10"/>
        <v>100</v>
      </c>
      <c r="H65" s="145">
        <f t="shared" si="11"/>
        <v>0</v>
      </c>
      <c r="I65" s="165"/>
      <c r="J65" s="155"/>
      <c r="K65" s="156"/>
      <c r="L65" s="144"/>
      <c r="M65" s="144"/>
      <c r="N65" s="145"/>
      <c r="O65" s="18"/>
      <c r="P65" s="19"/>
      <c r="Q65" s="20"/>
      <c r="R65" s="21"/>
      <c r="S65" s="21"/>
    </row>
    <row r="66" spans="1:19" s="22" customFormat="1" ht="24.9" customHeight="1">
      <c r="A66" s="166">
        <v>61</v>
      </c>
      <c r="B66" s="162" t="s">
        <v>102</v>
      </c>
      <c r="C66" s="165"/>
      <c r="D66" s="155"/>
      <c r="E66" s="155"/>
      <c r="F66" s="144"/>
      <c r="G66" s="144"/>
      <c r="H66" s="145"/>
      <c r="I66" s="165">
        <v>5622.8</v>
      </c>
      <c r="J66" s="155">
        <f>468.5*2</f>
        <v>937</v>
      </c>
      <c r="K66" s="155">
        <v>937</v>
      </c>
      <c r="L66" s="144">
        <f>K66/I66*100</f>
        <v>16.664295368855374</v>
      </c>
      <c r="M66" s="144">
        <f>K66/J66*100</f>
        <v>100</v>
      </c>
      <c r="N66" s="145">
        <f>K66-J66</f>
        <v>0</v>
      </c>
      <c r="O66" s="18"/>
      <c r="P66" s="19"/>
      <c r="Q66" s="20"/>
      <c r="R66" s="21"/>
      <c r="S66" s="21"/>
    </row>
    <row r="67" spans="1:19" s="22" customFormat="1" ht="24.9" customHeight="1">
      <c r="A67" s="166">
        <v>62</v>
      </c>
      <c r="B67" s="162" t="s">
        <v>103</v>
      </c>
      <c r="C67" s="165">
        <v>5302.3</v>
      </c>
      <c r="D67" s="155">
        <f>441.8*2</f>
        <v>883.6</v>
      </c>
      <c r="E67" s="155"/>
      <c r="F67" s="141">
        <f t="shared" si="9"/>
        <v>0</v>
      </c>
      <c r="G67" s="144">
        <f t="shared" si="10"/>
        <v>0</v>
      </c>
      <c r="H67" s="145">
        <f t="shared" si="11"/>
        <v>-883.6</v>
      </c>
      <c r="I67" s="165"/>
      <c r="J67" s="155"/>
      <c r="K67" s="156"/>
      <c r="L67" s="144"/>
      <c r="M67" s="144"/>
      <c r="N67" s="145"/>
      <c r="O67" s="18"/>
      <c r="P67" s="19"/>
      <c r="Q67" s="20"/>
      <c r="R67" s="21"/>
      <c r="S67" s="21"/>
    </row>
    <row r="68" spans="1:19" s="22" customFormat="1" ht="24.9" customHeight="1">
      <c r="A68" s="166">
        <v>63</v>
      </c>
      <c r="B68" s="162" t="s">
        <v>104</v>
      </c>
      <c r="C68" s="165">
        <v>5836.7</v>
      </c>
      <c r="D68" s="155">
        <f>486.4*2</f>
        <v>972.8</v>
      </c>
      <c r="E68" s="155">
        <v>972.8</v>
      </c>
      <c r="F68" s="141">
        <f t="shared" si="9"/>
        <v>16.666952216149536</v>
      </c>
      <c r="G68" s="144">
        <f t="shared" si="10"/>
        <v>100</v>
      </c>
      <c r="H68" s="145">
        <f t="shared" si="11"/>
        <v>0</v>
      </c>
      <c r="I68" s="165"/>
      <c r="J68" s="155"/>
      <c r="K68" s="156"/>
      <c r="L68" s="144"/>
      <c r="M68" s="144"/>
      <c r="N68" s="145"/>
      <c r="O68" s="18"/>
      <c r="P68" s="19"/>
      <c r="Q68" s="20"/>
      <c r="R68" s="21"/>
      <c r="S68" s="21"/>
    </row>
    <row r="69" spans="1:19" s="22" customFormat="1" ht="24.9" customHeight="1">
      <c r="A69" s="166">
        <v>64</v>
      </c>
      <c r="B69" s="162" t="s">
        <v>106</v>
      </c>
      <c r="C69" s="165"/>
      <c r="D69" s="155"/>
      <c r="E69" s="155"/>
      <c r="F69" s="144"/>
      <c r="G69" s="144"/>
      <c r="H69" s="145"/>
      <c r="I69" s="165">
        <v>3827.4</v>
      </c>
      <c r="J69" s="155">
        <f>318.9*2</f>
        <v>637.79999999999995</v>
      </c>
      <c r="K69" s="155">
        <v>637.79999999999995</v>
      </c>
      <c r="L69" s="144">
        <f>K69/I69*100</f>
        <v>16.664053926947798</v>
      </c>
      <c r="M69" s="144">
        <f>K69/J69*100</f>
        <v>100</v>
      </c>
      <c r="N69" s="145">
        <f>K69-J69</f>
        <v>0</v>
      </c>
      <c r="O69" s="18"/>
      <c r="P69" s="19"/>
      <c r="Q69" s="20"/>
      <c r="R69" s="21"/>
      <c r="S69" s="21"/>
    </row>
    <row r="70" spans="1:19" s="22" customFormat="1" ht="24.9" customHeight="1" thickBot="1">
      <c r="A70" s="167">
        <v>65</v>
      </c>
      <c r="B70" s="168" t="s">
        <v>105</v>
      </c>
      <c r="C70" s="169">
        <v>4605</v>
      </c>
      <c r="D70" s="170">
        <f>383.7*2</f>
        <v>767.4</v>
      </c>
      <c r="E70" s="170">
        <v>767.4</v>
      </c>
      <c r="F70" s="171">
        <f t="shared" si="9"/>
        <v>16.664495114006513</v>
      </c>
      <c r="G70" s="171">
        <f t="shared" si="10"/>
        <v>100</v>
      </c>
      <c r="H70" s="172">
        <f t="shared" si="11"/>
        <v>0</v>
      </c>
      <c r="I70" s="169"/>
      <c r="J70" s="170"/>
      <c r="K70" s="173"/>
      <c r="L70" s="174"/>
      <c r="M70" s="174"/>
      <c r="N70" s="172"/>
      <c r="O70" s="18"/>
      <c r="P70" s="19"/>
      <c r="Q70" s="20"/>
      <c r="R70" s="21"/>
      <c r="S70" s="21"/>
    </row>
    <row r="71" spans="1:19" s="118" customFormat="1" ht="30" customHeight="1" thickBot="1">
      <c r="A71" s="107"/>
      <c r="B71" s="113" t="s">
        <v>52</v>
      </c>
      <c r="C71" s="114">
        <f>SUM(C6:C70)</f>
        <v>559873.39999999991</v>
      </c>
      <c r="D71" s="115">
        <f>SUM(D6:D70)</f>
        <v>93310.8</v>
      </c>
      <c r="E71" s="115">
        <f>SUM(E6:E70)</f>
        <v>91281.8</v>
      </c>
      <c r="F71" s="116">
        <f>E71/C71*100</f>
        <v>16.304007298792907</v>
      </c>
      <c r="G71" s="116">
        <f>E71/D71*100</f>
        <v>97.825546453358029</v>
      </c>
      <c r="H71" s="117">
        <f>E71-D71</f>
        <v>-2029</v>
      </c>
      <c r="I71" s="114">
        <f>SUM(I6:I70)</f>
        <v>365119</v>
      </c>
      <c r="J71" s="115">
        <f>SUM(J6:J70)</f>
        <v>60853</v>
      </c>
      <c r="K71" s="115">
        <f>SUM(K6:K70)</f>
        <v>60853</v>
      </c>
      <c r="L71" s="116">
        <f>K71/I71*100</f>
        <v>16.666621019448456</v>
      </c>
      <c r="M71" s="116">
        <f>K71/J71*100</f>
        <v>100</v>
      </c>
      <c r="N71" s="117">
        <f>K71-J71</f>
        <v>0</v>
      </c>
      <c r="P71" s="119"/>
      <c r="Q71" s="120"/>
      <c r="R71" s="119"/>
      <c r="S71" s="119"/>
    </row>
    <row r="72" spans="1:19" s="22" customFormat="1" ht="24.6" customHeight="1">
      <c r="A72" s="31"/>
      <c r="B72" s="31"/>
      <c r="D72" s="18"/>
      <c r="I72" s="18"/>
      <c r="J72" s="18"/>
      <c r="K72" s="34"/>
      <c r="L72" s="35"/>
      <c r="M72" s="35"/>
      <c r="N72" s="35"/>
      <c r="Q72" s="36"/>
    </row>
    <row r="73" spans="1:19" s="38" customFormat="1">
      <c r="B73" s="39"/>
      <c r="C73" s="40"/>
      <c r="D73" s="40"/>
      <c r="E73" s="40"/>
      <c r="F73" s="40"/>
      <c r="G73" s="40"/>
      <c r="H73" s="40"/>
      <c r="K73" s="37"/>
      <c r="L73" s="37"/>
      <c r="M73" s="37"/>
      <c r="N73" s="37"/>
      <c r="Q73" s="41"/>
    </row>
    <row r="74" spans="1:19" s="22" customFormat="1">
      <c r="K74" s="35"/>
      <c r="L74" s="35"/>
      <c r="M74" s="35"/>
      <c r="N74" s="35"/>
      <c r="Q74" s="36"/>
    </row>
    <row r="75" spans="1:19" s="22" customFormat="1">
      <c r="K75" s="35"/>
      <c r="L75" s="35"/>
      <c r="M75" s="35"/>
      <c r="N75" s="35"/>
      <c r="Q75" s="36"/>
    </row>
    <row r="76" spans="1:19" s="22" customFormat="1">
      <c r="K76" s="35"/>
      <c r="L76" s="35"/>
      <c r="M76" s="35"/>
      <c r="N76" s="35"/>
      <c r="Q76" s="36"/>
    </row>
    <row r="77" spans="1:19" s="22" customFormat="1">
      <c r="K77" s="35"/>
      <c r="L77" s="35"/>
      <c r="M77" s="35"/>
      <c r="N77" s="35"/>
      <c r="Q77" s="36"/>
    </row>
    <row r="78" spans="1:19" s="22" customFormat="1">
      <c r="K78" s="35"/>
      <c r="L78" s="35"/>
      <c r="M78" s="35"/>
      <c r="N78" s="35"/>
      <c r="Q78" s="36"/>
    </row>
    <row r="79" spans="1:19" s="22" customFormat="1">
      <c r="K79" s="35"/>
      <c r="L79" s="35"/>
      <c r="M79" s="35"/>
      <c r="N79" s="35"/>
      <c r="Q79" s="36"/>
    </row>
    <row r="80" spans="1:19" s="22" customFormat="1">
      <c r="K80" s="35"/>
      <c r="L80" s="35"/>
      <c r="M80" s="35"/>
      <c r="N80" s="35"/>
      <c r="Q80" s="36"/>
    </row>
    <row r="81" spans="11:17" s="22" customFormat="1">
      <c r="K81" s="35"/>
      <c r="L81" s="35"/>
      <c r="M81" s="35"/>
      <c r="N81" s="35"/>
      <c r="Q81" s="36"/>
    </row>
    <row r="82" spans="11:17" s="22" customFormat="1">
      <c r="K82" s="35"/>
      <c r="L82" s="35"/>
      <c r="M82" s="35"/>
      <c r="N82" s="35"/>
      <c r="Q82" s="36"/>
    </row>
    <row r="83" spans="11:17" s="22" customFormat="1">
      <c r="K83" s="35"/>
      <c r="L83" s="35"/>
      <c r="M83" s="35"/>
      <c r="N83" s="35"/>
      <c r="Q83" s="36"/>
    </row>
    <row r="84" spans="11:17" s="22" customFormat="1">
      <c r="K84" s="35"/>
      <c r="L84" s="35"/>
      <c r="M84" s="35"/>
      <c r="N84" s="35"/>
      <c r="Q84" s="36"/>
    </row>
    <row r="85" spans="11:17" s="22" customFormat="1">
      <c r="K85" s="35"/>
      <c r="L85" s="35"/>
      <c r="M85" s="35"/>
      <c r="N85" s="35"/>
      <c r="Q85" s="36"/>
    </row>
    <row r="86" spans="11:17" s="22" customFormat="1">
      <c r="K86" s="35"/>
      <c r="L86" s="35"/>
      <c r="M86" s="35"/>
      <c r="N86" s="35"/>
      <c r="Q86" s="36"/>
    </row>
    <row r="87" spans="11:17" s="22" customFormat="1">
      <c r="K87" s="35"/>
      <c r="L87" s="35"/>
      <c r="M87" s="35"/>
      <c r="N87" s="35"/>
      <c r="Q87" s="36"/>
    </row>
    <row r="88" spans="11:17" s="22" customFormat="1">
      <c r="K88" s="35"/>
      <c r="L88" s="35"/>
      <c r="M88" s="35"/>
      <c r="N88" s="35"/>
      <c r="Q88" s="36"/>
    </row>
    <row r="89" spans="11:17" s="22" customFormat="1">
      <c r="K89" s="35"/>
      <c r="L89" s="35"/>
      <c r="M89" s="35"/>
      <c r="N89" s="35"/>
      <c r="Q89" s="36"/>
    </row>
    <row r="90" spans="11:17" s="22" customFormat="1">
      <c r="K90" s="35"/>
      <c r="L90" s="35"/>
      <c r="M90" s="35"/>
      <c r="N90" s="35"/>
      <c r="Q90" s="36"/>
    </row>
    <row r="91" spans="11:17" s="22" customFormat="1">
      <c r="K91" s="35"/>
      <c r="L91" s="35"/>
      <c r="M91" s="35"/>
      <c r="N91" s="35"/>
      <c r="Q91" s="36"/>
    </row>
    <row r="92" spans="11:17" s="22" customFormat="1">
      <c r="K92" s="35"/>
      <c r="L92" s="35"/>
      <c r="M92" s="35"/>
      <c r="N92" s="35"/>
      <c r="Q92" s="36"/>
    </row>
    <row r="93" spans="11:17" s="22" customFormat="1">
      <c r="K93" s="35"/>
      <c r="L93" s="35"/>
      <c r="M93" s="35"/>
      <c r="N93" s="35"/>
      <c r="Q93" s="36"/>
    </row>
    <row r="94" spans="11:17" s="22" customFormat="1">
      <c r="K94" s="35"/>
      <c r="L94" s="35"/>
      <c r="M94" s="35"/>
      <c r="N94" s="35"/>
      <c r="Q94" s="36"/>
    </row>
    <row r="95" spans="11:17" s="22" customFormat="1">
      <c r="K95" s="35"/>
      <c r="L95" s="35"/>
      <c r="M95" s="35"/>
      <c r="N95" s="35"/>
      <c r="Q95" s="36"/>
    </row>
    <row r="96" spans="11:17" s="22" customFormat="1">
      <c r="K96" s="35"/>
      <c r="L96" s="35"/>
      <c r="M96" s="35"/>
      <c r="N96" s="35"/>
      <c r="Q96" s="36"/>
    </row>
    <row r="97" spans="11:17" s="22" customFormat="1">
      <c r="K97" s="35"/>
      <c r="L97" s="35"/>
      <c r="M97" s="35"/>
      <c r="N97" s="35"/>
      <c r="Q97" s="36"/>
    </row>
    <row r="98" spans="11:17" s="22" customFormat="1">
      <c r="K98" s="35"/>
      <c r="L98" s="35"/>
      <c r="M98" s="35"/>
      <c r="N98" s="35"/>
      <c r="Q98" s="36"/>
    </row>
    <row r="99" spans="11:17" s="22" customFormat="1">
      <c r="K99" s="35"/>
      <c r="L99" s="35"/>
      <c r="M99" s="35"/>
      <c r="N99" s="35"/>
      <c r="Q99" s="36"/>
    </row>
    <row r="100" spans="11:17" s="22" customFormat="1">
      <c r="K100" s="35"/>
      <c r="L100" s="35"/>
      <c r="M100" s="35"/>
      <c r="N100" s="35"/>
      <c r="Q100" s="36"/>
    </row>
    <row r="101" spans="11:17" s="22" customFormat="1">
      <c r="K101" s="35"/>
      <c r="L101" s="35"/>
      <c r="M101" s="35"/>
      <c r="N101" s="35"/>
      <c r="Q101" s="36"/>
    </row>
    <row r="102" spans="11:17" s="22" customFormat="1">
      <c r="K102" s="35"/>
      <c r="L102" s="35"/>
      <c r="M102" s="35"/>
      <c r="N102" s="35"/>
      <c r="Q102" s="36"/>
    </row>
    <row r="103" spans="11:17" s="22" customFormat="1">
      <c r="K103" s="35"/>
      <c r="L103" s="35"/>
      <c r="M103" s="35"/>
      <c r="N103" s="35"/>
      <c r="Q103" s="36"/>
    </row>
    <row r="104" spans="11:17" s="22" customFormat="1">
      <c r="K104" s="35"/>
      <c r="L104" s="35"/>
      <c r="M104" s="35"/>
      <c r="N104" s="35"/>
      <c r="Q104" s="36"/>
    </row>
    <row r="105" spans="11:17" s="22" customFormat="1">
      <c r="K105" s="35"/>
      <c r="L105" s="35"/>
      <c r="M105" s="35"/>
      <c r="N105" s="35"/>
      <c r="Q105" s="36"/>
    </row>
    <row r="106" spans="11:17" s="22" customFormat="1">
      <c r="K106" s="35"/>
      <c r="L106" s="35"/>
      <c r="M106" s="35"/>
      <c r="N106" s="35"/>
      <c r="Q106" s="36"/>
    </row>
    <row r="107" spans="11:17" s="22" customFormat="1">
      <c r="K107" s="35"/>
      <c r="L107" s="35"/>
      <c r="M107" s="35"/>
      <c r="N107" s="35"/>
      <c r="Q107" s="36"/>
    </row>
    <row r="108" spans="11:17" s="22" customFormat="1">
      <c r="K108" s="35"/>
      <c r="L108" s="35"/>
      <c r="M108" s="35"/>
      <c r="N108" s="35"/>
      <c r="Q108" s="36"/>
    </row>
    <row r="109" spans="11:17" s="22" customFormat="1">
      <c r="K109" s="35"/>
      <c r="L109" s="35"/>
      <c r="M109" s="35"/>
      <c r="N109" s="35"/>
      <c r="Q109" s="36"/>
    </row>
    <row r="110" spans="11:17" s="22" customFormat="1">
      <c r="K110" s="35"/>
      <c r="L110" s="35"/>
      <c r="M110" s="35"/>
      <c r="N110" s="35"/>
      <c r="Q110" s="36"/>
    </row>
    <row r="111" spans="11:17" s="22" customFormat="1">
      <c r="K111" s="35"/>
      <c r="L111" s="35"/>
      <c r="M111" s="35"/>
      <c r="N111" s="35"/>
      <c r="Q111" s="36"/>
    </row>
    <row r="112" spans="11:17" s="22" customFormat="1">
      <c r="K112" s="35"/>
      <c r="L112" s="35"/>
      <c r="M112" s="35"/>
      <c r="N112" s="35"/>
      <c r="Q112" s="36"/>
    </row>
    <row r="113" spans="11:17" s="22" customFormat="1">
      <c r="K113" s="35"/>
      <c r="L113" s="35"/>
      <c r="M113" s="35"/>
      <c r="N113" s="35"/>
      <c r="Q113" s="36"/>
    </row>
    <row r="114" spans="11:17" s="22" customFormat="1">
      <c r="K114" s="35"/>
      <c r="L114" s="35"/>
      <c r="M114" s="35"/>
      <c r="N114" s="35"/>
      <c r="Q114" s="36"/>
    </row>
  </sheetData>
  <mergeCells count="15">
    <mergeCell ref="B3:B5"/>
    <mergeCell ref="L4:L5"/>
    <mergeCell ref="D4:D5"/>
    <mergeCell ref="E4:E5"/>
    <mergeCell ref="F4:F5"/>
    <mergeCell ref="A1:N1"/>
    <mergeCell ref="I3:N3"/>
    <mergeCell ref="A3:A5"/>
    <mergeCell ref="I4:I5"/>
    <mergeCell ref="K4:K5"/>
    <mergeCell ref="M4:N4"/>
    <mergeCell ref="J4:J5"/>
    <mergeCell ref="C4:C5"/>
    <mergeCell ref="C3:H3"/>
    <mergeCell ref="G4:H4"/>
  </mergeCells>
  <phoneticPr fontId="45" type="noConversion"/>
  <printOptions horizontalCentered="1"/>
  <pageMargins left="0.31496062992125984" right="0.19685039370078741" top="0.2" bottom="0.19685039370078741" header="0" footer="0"/>
  <pageSetup paperSize="9" scale="46" orientation="portrait" horizontalDpi="4294967292" r:id="rId1"/>
  <headerFooter alignWithMargins="0"/>
  <colBreaks count="1" manualBreakCount="1">
    <brk id="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2018-03-01T08:18:22Z</cp:lastPrinted>
  <dcterms:created xsi:type="dcterms:W3CDTF">2005-01-14T13:08:28Z</dcterms:created>
  <dcterms:modified xsi:type="dcterms:W3CDTF">2022-06-09T06:38:38Z</dcterms:modified>
</cp:coreProperties>
</file>